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C:\Users\wbenz\Downloads\"/>
    </mc:Choice>
  </mc:AlternateContent>
  <xr:revisionPtr revIDLastSave="0" documentId="8_{0110A39A-F16C-4E5C-9111-33B0F20C7898}" xr6:coauthVersionLast="47" xr6:coauthVersionMax="47" xr10:uidLastSave="{00000000-0000-0000-0000-000000000000}"/>
  <workbookProtection workbookAlgorithmName="SHA-512" workbookHashValue="1cXS9qUy5OQPG8WTHqWeoQxgVeeiQmIYjDpxClq2zZyODfMbKpD1eouHhA+xo7+ZvLnUIk9js6+kprEAunSiUQ==" workbookSaltValue="wBFFGJiRvmbZ+uyJGGaKoA==" workbookSpinCount="100000" lockStructure="1"/>
  <bookViews>
    <workbookView xWindow="-108" yWindow="-108" windowWidth="23256" windowHeight="12456" tabRatio="950" activeTab="4" xr2:uid="{00000000-000D-0000-FFFF-FFFF00000000}"/>
  </bookViews>
  <sheets>
    <sheet name="Instructions" sheetId="366" r:id="rId1"/>
    <sheet name="69 - Instructions" sheetId="91" state="hidden" r:id="rId2"/>
    <sheet name="KEY INPUTS" sheetId="2" r:id="rId3"/>
    <sheet name="KEY METRICS" sheetId="121" state="hidden" r:id="rId4"/>
    <sheet name="1- Cover" sheetId="57" r:id="rId5"/>
    <sheet name="1a - RMA Certification" sheetId="56" r:id="rId6"/>
    <sheet name="1b - Local Exam Qual Cert" sheetId="54" r:id="rId7"/>
    <sheet name="1c - Fed &amp; State Finan Asst." sheetId="102" r:id="rId8"/>
    <sheet name="2 - No Utility Fund Cert" sheetId="52" r:id="rId9"/>
    <sheet name="3-Trial Bal-Current Fund" sheetId="4" r:id="rId10"/>
    <sheet name="3a-Trial Bal-Current Fund" sheetId="1" r:id="rId11"/>
    <sheet name="3a.1-Trial Bal-Current Fund" sheetId="367" r:id="rId12"/>
    <sheet name="4-Trial Bal-Pub Assist Fnd" sheetId="6" r:id="rId13"/>
    <sheet name="5-Trial Bal-Grants" sheetId="7" r:id="rId14"/>
    <sheet name="6-Trial Bal-Trust Fnds" sheetId="8" r:id="rId15"/>
    <sheet name="6.1-Trial Bal-Trust Fnds" sheetId="9" r:id="rId16"/>
    <sheet name="6.2-Trial Bal-Trust Fnds" sheetId="125" r:id="rId17"/>
    <sheet name="6.3-Trial Bal-Trust Fnds" sheetId="126" state="hidden" r:id="rId18"/>
    <sheet name="6.4-Trial Bal-Trust Fnds" sheetId="127" state="hidden" r:id="rId19"/>
    <sheet name="6.TOTAL-Trial Bal-Trust Fnds" sheetId="128" r:id="rId20"/>
    <sheet name="6b-Trust Fund Reserves" sheetId="97" r:id="rId21"/>
    <sheet name="6b.1-Trust Fund Reserves" sheetId="122" state="hidden" r:id="rId22"/>
    <sheet name="6b.2-Trust Fund Reserves" sheetId="129" state="hidden" r:id="rId23"/>
    <sheet name="6b.3-Trust Fund Reserves" sheetId="130" state="hidden" r:id="rId24"/>
    <sheet name="6b-Total Trust Fund Reserves" sheetId="131" r:id="rId25"/>
    <sheet name="7-Trust Asm Cash &amp; Investments" sheetId="10" r:id="rId26"/>
    <sheet name="8-Trial Bal-Gen Cap Fund" sheetId="11" r:id="rId27"/>
    <sheet name="8.1-Trial Bal-Gen Cap Fund" sheetId="305" r:id="rId28"/>
    <sheet name="9-Cash Reconciliation" sheetId="12" r:id="rId29"/>
    <sheet name="9a-Cash Reconciliation" sheetId="13" r:id="rId30"/>
    <sheet name="9a.1-Cash Reconciliation" sheetId="14" state="hidden" r:id="rId31"/>
    <sheet name="9a.2-Cash Reconciliation" sheetId="123" state="hidden" r:id="rId32"/>
    <sheet name="9a.3-Cash Reconciliation" sheetId="124" state="hidden" r:id="rId33"/>
    <sheet name="9a TOTAL-Cash Reconciliation" sheetId="132" r:id="rId34"/>
    <sheet name="10-Grants Receivable" sheetId="15" r:id="rId35"/>
    <sheet name="10.1-Grants Receivable" sheetId="16" r:id="rId36"/>
    <sheet name="10.2-Grants Receivable" sheetId="133" state="hidden" r:id="rId37"/>
    <sheet name="10.3-Grants Receivable" sheetId="134" state="hidden" r:id="rId38"/>
    <sheet name="10.4-Grants Receivable" sheetId="135" state="hidden" r:id="rId39"/>
    <sheet name="10.5-Grants Receivable" sheetId="136" state="hidden" r:id="rId40"/>
    <sheet name="10.6-Grants Receivable" sheetId="137" state="hidden" r:id="rId41"/>
    <sheet name="10.7-Grants Receivable" sheetId="138" state="hidden" r:id="rId42"/>
    <sheet name="10.8-Grants Receivable" sheetId="139" state="hidden" r:id="rId43"/>
    <sheet name="10.9-Grants Receivable" sheetId="140" state="hidden" r:id="rId44"/>
    <sheet name="10.10-Grants Receivable" sheetId="141" state="hidden" r:id="rId45"/>
    <sheet name="10.11-Grants Receivable" sheetId="142" state="hidden" r:id="rId46"/>
    <sheet name="10.12-Grants Receivable" sheetId="143" state="hidden" r:id="rId47"/>
    <sheet name="10.13-Grants Receivable" sheetId="144" state="hidden" r:id="rId48"/>
    <sheet name="10.14-Grants Receivable" sheetId="145" state="hidden" r:id="rId49"/>
    <sheet name="10.15-Grants Receivable" sheetId="146" state="hidden" r:id="rId50"/>
    <sheet name="10.16-Grants Receivable" sheetId="148" state="hidden" r:id="rId51"/>
    <sheet name="10.17-Grants Receivable" sheetId="147" state="hidden" r:id="rId52"/>
    <sheet name="10.18-Grants Receivable" sheetId="149" state="hidden" r:id="rId53"/>
    <sheet name="10.19-Grants Receivable" sheetId="150" state="hidden" r:id="rId54"/>
    <sheet name="10.20-Grants Receivable" sheetId="151" state="hidden" r:id="rId55"/>
    <sheet name="10.21-Grants Receivable" sheetId="152" state="hidden" r:id="rId56"/>
    <sheet name="10.22-Grants Receivable" sheetId="153" state="hidden" r:id="rId57"/>
    <sheet name="10.23-Grants Receivable" sheetId="154" state="hidden" r:id="rId58"/>
    <sheet name="10.24-Grants Receivable" sheetId="155" state="hidden" r:id="rId59"/>
    <sheet name="10 Totals Grants Receivable" sheetId="156" r:id="rId60"/>
    <sheet name="11 Grants Approp Rsrv" sheetId="17" r:id="rId61"/>
    <sheet name="11.1 Grants Approp Rsrv" sheetId="157" r:id="rId62"/>
    <sheet name="11.2 Grants Approp Rsrv" sheetId="158" r:id="rId63"/>
    <sheet name="11.3 Grants Approp Rsrv" sheetId="159" state="hidden" r:id="rId64"/>
    <sheet name="11.4 Grants Approp Rsrv" sheetId="160" state="hidden" r:id="rId65"/>
    <sheet name="11.5 Grants Approp Rsrv" sheetId="161" state="hidden" r:id="rId66"/>
    <sheet name="11.6 Grants Approp Rsrv" sheetId="162" state="hidden" r:id="rId67"/>
    <sheet name="11.7 Grants Approp Rsrv" sheetId="163" state="hidden" r:id="rId68"/>
    <sheet name="11.8 Grants Approp Rsrv" sheetId="164" state="hidden" r:id="rId69"/>
    <sheet name="11.9 Grants Approp Rsrv" sheetId="165" state="hidden" r:id="rId70"/>
    <sheet name="11.10 Grants Approp Rsrv" sheetId="166" state="hidden" r:id="rId71"/>
    <sheet name="11.11 Grants Approp Rsrv" sheetId="167" state="hidden" r:id="rId72"/>
    <sheet name="11.12 Grants Approp Rsrv" sheetId="168" state="hidden" r:id="rId73"/>
    <sheet name="11.13 Grants Approp Rsrv" sheetId="169" state="hidden" r:id="rId74"/>
    <sheet name="11.14 Grants Approp Rsrv" sheetId="170" state="hidden" r:id="rId75"/>
    <sheet name="11.15 Grants Approp Rsrv" sheetId="171" state="hidden" r:id="rId76"/>
    <sheet name="11.16 Grants Approp Rsrv" sheetId="172" state="hidden" r:id="rId77"/>
    <sheet name="11.17 Grants Approp Rsrv" sheetId="173" state="hidden" r:id="rId78"/>
    <sheet name="11.18 Grants Approp Rsrv" sheetId="174" state="hidden" r:id="rId79"/>
    <sheet name="11.19 Grants Approp Rsrv" sheetId="175" state="hidden" r:id="rId80"/>
    <sheet name="11.20 Grants Approp Rsrv" sheetId="176" state="hidden" r:id="rId81"/>
    <sheet name="11.21 Grants Approp Rsrv" sheetId="177" state="hidden" r:id="rId82"/>
    <sheet name="11.22 Grants Approp Rsrv" sheetId="178" state="hidden" r:id="rId83"/>
    <sheet name="11.23 Grants Approp Rsrv" sheetId="179" state="hidden" r:id="rId84"/>
    <sheet name="11.24 Grants Approp Rsrv" sheetId="180" state="hidden" r:id="rId85"/>
    <sheet name="11.25 Grants Approp Rsrv" sheetId="181" state="hidden" r:id="rId86"/>
    <sheet name="11.26 Grants Approp Rsrv" sheetId="182" state="hidden" r:id="rId87"/>
    <sheet name="11.27 Grants Approp Rsrv" sheetId="183" state="hidden" r:id="rId88"/>
    <sheet name="11.28 Grants Approp Rsrv" sheetId="184" state="hidden" r:id="rId89"/>
    <sheet name="11.29 Grants Approp Rsrv" sheetId="185" state="hidden" r:id="rId90"/>
    <sheet name="11.30 Grants Approp Rsrv" sheetId="186" state="hidden" r:id="rId91"/>
    <sheet name="11.31 Grants Approp Rsrv" sheetId="187" state="hidden" r:id="rId92"/>
    <sheet name="11.32 Grants Approp Rsrv" sheetId="188" state="hidden" r:id="rId93"/>
    <sheet name="11.33 Grants Approp Rsrv" sheetId="189" state="hidden" r:id="rId94"/>
    <sheet name="11.34 Grants Approp Rsrv" sheetId="190" state="hidden" r:id="rId95"/>
    <sheet name="11.35 Grants Approp Rsrv" sheetId="191" state="hidden" r:id="rId96"/>
    <sheet name="11.36 Grants Approp Rsrv" sheetId="192" state="hidden" r:id="rId97"/>
    <sheet name="11.37 Grants Approp Rsrv" sheetId="193" state="hidden" r:id="rId98"/>
    <sheet name="11.38 Grants Approp Rsrv" sheetId="194" state="hidden" r:id="rId99"/>
    <sheet name="11.39 Grants Approp Rsrv" sheetId="195" state="hidden" r:id="rId100"/>
    <sheet name="11- Totals Grants Approp Rsrv" sheetId="196" r:id="rId101"/>
    <sheet name="12-Grants Unappropriated" sheetId="19" state="hidden" r:id="rId102"/>
    <sheet name="12.1-Grants Unappropriated" sheetId="197" state="hidden" r:id="rId103"/>
    <sheet name="12.2-Grants Unappropriated" sheetId="198" state="hidden" r:id="rId104"/>
    <sheet name="12 Total-Grants Unappropriated" sheetId="199" r:id="rId105"/>
    <sheet name="13-Other Taxes" sheetId="20" r:id="rId106"/>
    <sheet name="14-Other Taxes" sheetId="21" r:id="rId107"/>
    <sheet name="15-Other Taxes" sheetId="22" r:id="rId108"/>
    <sheet name="17-Budget Revenues" sheetId="24" r:id="rId109"/>
    <sheet name="17a-Budget Revenues" sheetId="28" r:id="rId110"/>
    <sheet name="17a.1-Budget Revenues " sheetId="200" state="hidden" r:id="rId111"/>
    <sheet name="17a.2-Budget Revenues" sheetId="201" state="hidden" r:id="rId112"/>
    <sheet name="17a.3-Budget Revenues" sheetId="202" state="hidden" r:id="rId113"/>
    <sheet name="17a Totals-Budget Revenues" sheetId="203" r:id="rId114"/>
    <sheet name="18-Budget Appropriations" sheetId="27" r:id="rId115"/>
    <sheet name="19-Results of Op-Cur Fnd" sheetId="31" r:id="rId116"/>
    <sheet name="20-Misc Rev Not Ant" sheetId="32" state="hidden" r:id="rId117"/>
    <sheet name="20.1-Misc Rev Not Ant" sheetId="204" state="hidden" r:id="rId118"/>
    <sheet name="20 Total-Misc Rev Not Ant" sheetId="205" r:id="rId119"/>
    <sheet name="21-Current Fund Surplus" sheetId="26" r:id="rId120"/>
    <sheet name="22-CY Levy" sheetId="30" r:id="rId121"/>
    <sheet name="22a-Tax Levy Sale" sheetId="35" r:id="rId122"/>
    <sheet name="23-SCVet Deductions" sheetId="29" r:id="rId123"/>
    <sheet name="24-Reserves for Tax Appeals" sheetId="34" r:id="rId124"/>
    <sheet name="26-Delinquent Taxes and Liens" sheetId="36" r:id="rId125"/>
    <sheet name="27-Foreclosed Property" sheetId="39" r:id="rId126"/>
    <sheet name="28-Deferred Charges" sheetId="37" r:id="rId127"/>
    <sheet name="29-Special Emergency" sheetId="40" r:id="rId128"/>
    <sheet name="30-Special Emergency" sheetId="41" r:id="rId129"/>
    <sheet name="31-Capital Bond Schedule" sheetId="38" r:id="rId130"/>
    <sheet name="31A-Loan Schedule" sheetId="96" r:id="rId131"/>
    <sheet name="31A.1-Loan Schedule" sheetId="206" r:id="rId132"/>
    <sheet name="31A.2-Loan Schedule" sheetId="207" r:id="rId133"/>
    <sheet name="32-Bond Schedule" sheetId="42" r:id="rId134"/>
    <sheet name="33-Note Debt Service" sheetId="43" r:id="rId135"/>
    <sheet name="33.1-Note Debt Service" sheetId="208" r:id="rId136"/>
    <sheet name="33 Totals-Note Debt Service" sheetId="209" r:id="rId137"/>
    <sheet name="34-Assmt Note Debt Service" sheetId="44" r:id="rId138"/>
    <sheet name="34a-Cap Lease Program Oblg" sheetId="98" r:id="rId139"/>
    <sheet name="35- Cap Fund Imprv Auth" sheetId="45" r:id="rId140"/>
    <sheet name="35.1- Cap Fund Imprv Auth " sheetId="46" r:id="rId141"/>
    <sheet name="35.2- Cap Fund Imprv Auth" sheetId="210" r:id="rId142"/>
    <sheet name="35.3- Cap Fund Imprv Auth" sheetId="211" state="hidden" r:id="rId143"/>
    <sheet name="35.4- Cap Fund Imprv Auth" sheetId="212" state="hidden" r:id="rId144"/>
    <sheet name="35.5- Cap Fund Imprv Auth" sheetId="213" state="hidden" r:id="rId145"/>
    <sheet name="35.6- Cap Fund Imprv Auth" sheetId="214" state="hidden" r:id="rId146"/>
    <sheet name="35.7- Cap Fund Imprv Auth" sheetId="215" state="hidden" r:id="rId147"/>
    <sheet name="35.8- Cap Fund Imprv Auth" sheetId="216" state="hidden" r:id="rId148"/>
    <sheet name="35.9- Cap Fund Imprv Auth" sheetId="217" state="hidden" r:id="rId149"/>
    <sheet name="35 Totals- Cap Fund Imprv Auth" sheetId="218" r:id="rId150"/>
    <sheet name="36- Capital Improvement Fund" sheetId="50" r:id="rId151"/>
    <sheet name="37- Cap Fund Down Pymts" sheetId="51" r:id="rId152"/>
    <sheet name="37- Cap Fund Down Pymts (2)" sheetId="381" state="hidden" r:id="rId153"/>
    <sheet name="38- Capital Surplus" sheetId="58" r:id="rId154"/>
    <sheet name="39- Req. Information" sheetId="48" r:id="rId155"/>
    <sheet name="40" sheetId="47" r:id="rId156"/>
    <sheet name="41-Utility1" sheetId="103" r:id="rId157"/>
    <sheet name="41a-Utility1" sheetId="104" r:id="rId158"/>
    <sheet name="41a.1-Utility1" sheetId="344" r:id="rId159"/>
    <sheet name="42-Utility1" sheetId="105" r:id="rId160"/>
    <sheet name="43-Utility1" sheetId="106" r:id="rId161"/>
    <sheet name="44-Utility1" sheetId="107" r:id="rId162"/>
    <sheet name="45-Utility1" sheetId="108" r:id="rId163"/>
    <sheet name="46-Utility1" sheetId="109" r:id="rId164"/>
    <sheet name="47-Utility1" sheetId="110" r:id="rId165"/>
    <sheet name="48-Utility1" sheetId="111" r:id="rId166"/>
    <sheet name="48a-Utility1" sheetId="374" r:id="rId167"/>
    <sheet name="49-Utility1" sheetId="112" r:id="rId168"/>
    <sheet name="49a-Utility1" sheetId="113" r:id="rId169"/>
    <sheet name="49a.1-Utility1" sheetId="306" r:id="rId170"/>
    <sheet name="50-Utility1" sheetId="368" r:id="rId171"/>
    <sheet name="50.1-Utility1" sheetId="114" r:id="rId172"/>
    <sheet name="51-Utility1" sheetId="115" r:id="rId173"/>
    <sheet name="51a-Utility1" sheetId="116" r:id="rId174"/>
    <sheet name="52-Utility1" sheetId="117" r:id="rId175"/>
    <sheet name="52.1-Utility1" sheetId="319" r:id="rId176"/>
    <sheet name="52.2-Utility1" sheetId="320" r:id="rId177"/>
    <sheet name="52.3-Utility1" sheetId="321" r:id="rId178"/>
    <sheet name="52-Totals-Utility1" sheetId="322" r:id="rId179"/>
    <sheet name="53-Utility1" sheetId="118" r:id="rId180"/>
    <sheet name="54-Utility1" sheetId="119" r:id="rId181"/>
    <sheet name="41-Utility2" sheetId="220" r:id="rId182"/>
    <sheet name="41a-Utility2" sheetId="355" r:id="rId183"/>
    <sheet name="41a.1-Utility2" sheetId="356" r:id="rId184"/>
    <sheet name="42-Utility2" sheetId="222" r:id="rId185"/>
    <sheet name="43-Utility2" sheetId="223" r:id="rId186"/>
    <sheet name="44-Utility2" sheetId="224" r:id="rId187"/>
    <sheet name="45-Utility2" sheetId="225" r:id="rId188"/>
    <sheet name="46-Utility2" sheetId="226" r:id="rId189"/>
    <sheet name="47-Utility2" sheetId="227" r:id="rId190"/>
    <sheet name="48-Utility2" sheetId="228" r:id="rId191"/>
    <sheet name="48a-Utility2" sheetId="375" r:id="rId192"/>
    <sheet name="49-Utility2" sheetId="229" r:id="rId193"/>
    <sheet name="49a-Utility2" sheetId="230" r:id="rId194"/>
    <sheet name="49a.1-Utility2" sheetId="307" r:id="rId195"/>
    <sheet name="50-Utility2" sheetId="369" r:id="rId196"/>
    <sheet name="50.1-Utility2" sheetId="231" r:id="rId197"/>
    <sheet name="51-Utility2" sheetId="287" r:id="rId198"/>
    <sheet name="51a-Utility2" sheetId="292" r:id="rId199"/>
    <sheet name="52-Utility2" sheetId="293" r:id="rId200"/>
    <sheet name="52.1-Utility2" sheetId="323" r:id="rId201"/>
    <sheet name="52.2-Utility2" sheetId="324" r:id="rId202"/>
    <sheet name="52.3-Utility2" sheetId="325" r:id="rId203"/>
    <sheet name="52-Totals-Utility2" sheetId="326" r:id="rId204"/>
    <sheet name="53-Utility2" sheetId="300" r:id="rId205"/>
    <sheet name="54-Utility2" sheetId="301" r:id="rId206"/>
    <sheet name="41-Utility3" sheetId="232" state="hidden" r:id="rId207"/>
    <sheet name="41a-Utility3" sheetId="357" state="hidden" r:id="rId208"/>
    <sheet name="41a.1-Utility3" sheetId="358" state="hidden" r:id="rId209"/>
    <sheet name="42-Utility3" sheetId="234" state="hidden" r:id="rId210"/>
    <sheet name="43-Utility3" sheetId="235" state="hidden" r:id="rId211"/>
    <sheet name="44-Utility3" sheetId="236" state="hidden" r:id="rId212"/>
    <sheet name="45-Utility3" sheetId="237" state="hidden" r:id="rId213"/>
    <sheet name="46-Utility3" sheetId="238" state="hidden" r:id="rId214"/>
    <sheet name="47-Utility3" sheetId="239" state="hidden" r:id="rId215"/>
    <sheet name="48-Utility3" sheetId="240" state="hidden" r:id="rId216"/>
    <sheet name="48a-Utility3" sheetId="376" state="hidden" r:id="rId217"/>
    <sheet name="49-Utility3" sheetId="241" state="hidden" r:id="rId218"/>
    <sheet name="49a-Utility3" sheetId="242" state="hidden" r:id="rId219"/>
    <sheet name="49a.1-Utility3" sheetId="311" state="hidden" r:id="rId220"/>
    <sheet name="50-Utility3" sheetId="370" state="hidden" r:id="rId221"/>
    <sheet name="50.1-Utility3" sheetId="243" state="hidden" r:id="rId222"/>
    <sheet name="51-Utility3" sheetId="286" state="hidden" r:id="rId223"/>
    <sheet name="51a-Utility3" sheetId="291" state="hidden" r:id="rId224"/>
    <sheet name="52-Utility3" sheetId="294" state="hidden" r:id="rId225"/>
    <sheet name="52.1-Utility3" sheetId="327" state="hidden" r:id="rId226"/>
    <sheet name="52.2-Utility3" sheetId="328" state="hidden" r:id="rId227"/>
    <sheet name="52.3-Utility3" sheetId="329" state="hidden" r:id="rId228"/>
    <sheet name="52-Totals-Utility3" sheetId="330" state="hidden" r:id="rId229"/>
    <sheet name="53-Utility3" sheetId="299" state="hidden" r:id="rId230"/>
    <sheet name="54-Utility3" sheetId="302" state="hidden" r:id="rId231"/>
    <sheet name="41-Utility4" sheetId="244" state="hidden" r:id="rId232"/>
    <sheet name="41a-Utility4" sheetId="359" state="hidden" r:id="rId233"/>
    <sheet name="41a.1-Utility4" sheetId="360" state="hidden" r:id="rId234"/>
    <sheet name="42-Utility4" sheetId="246" state="hidden" r:id="rId235"/>
    <sheet name="43-Utility4" sheetId="247" state="hidden" r:id="rId236"/>
    <sheet name="44-Utility4" sheetId="248" state="hidden" r:id="rId237"/>
    <sheet name="45-Utility4" sheetId="249" state="hidden" r:id="rId238"/>
    <sheet name="46-Utility4" sheetId="250" state="hidden" r:id="rId239"/>
    <sheet name="47-Utility4" sheetId="251" state="hidden" r:id="rId240"/>
    <sheet name="48-Utility4" sheetId="252" state="hidden" r:id="rId241"/>
    <sheet name="48a-Utility4" sheetId="377" state="hidden" r:id="rId242"/>
    <sheet name="49-Utility4" sheetId="253" state="hidden" r:id="rId243"/>
    <sheet name="49a-Utility4" sheetId="254" state="hidden" r:id="rId244"/>
    <sheet name="49a.1-Utility4" sheetId="313" state="hidden" r:id="rId245"/>
    <sheet name="50-Utility4" sheetId="371" state="hidden" r:id="rId246"/>
    <sheet name="50.1-Utility4" sheetId="255" state="hidden" r:id="rId247"/>
    <sheet name="51-Utility4" sheetId="285" state="hidden" r:id="rId248"/>
    <sheet name="51a-Utility4" sheetId="290" state="hidden" r:id="rId249"/>
    <sheet name="52-Utility4" sheetId="295" state="hidden" r:id="rId250"/>
    <sheet name="52.1-Utility4" sheetId="331" state="hidden" r:id="rId251"/>
    <sheet name="52.2-Utility4" sheetId="332" state="hidden" r:id="rId252"/>
    <sheet name="52.3-Utility4" sheetId="333" state="hidden" r:id="rId253"/>
    <sheet name="52-Totals-Utility4" sheetId="335" state="hidden" r:id="rId254"/>
    <sheet name="53-Utility4" sheetId="298" state="hidden" r:id="rId255"/>
    <sheet name="54-Utility4" sheetId="303" state="hidden" r:id="rId256"/>
    <sheet name="41-Utility5" sheetId="256" state="hidden" r:id="rId257"/>
    <sheet name="41a-Utility5" sheetId="361" state="hidden" r:id="rId258"/>
    <sheet name="41a.1-Utility5" sheetId="362" state="hidden" r:id="rId259"/>
    <sheet name="42-Utility5" sheetId="258" state="hidden" r:id="rId260"/>
    <sheet name="43-Utility5" sheetId="259" state="hidden" r:id="rId261"/>
    <sheet name="44-Utility5" sheetId="260" state="hidden" r:id="rId262"/>
    <sheet name="45-Utility5" sheetId="261" state="hidden" r:id="rId263"/>
    <sheet name="46-Utility5" sheetId="262" state="hidden" r:id="rId264"/>
    <sheet name="47-Utility5" sheetId="263" state="hidden" r:id="rId265"/>
    <sheet name="48-Utility5" sheetId="264" state="hidden" r:id="rId266"/>
    <sheet name="48a-Utility5" sheetId="378" state="hidden" r:id="rId267"/>
    <sheet name="49-Utility5" sheetId="265" state="hidden" r:id="rId268"/>
    <sheet name="49a-Utility5" sheetId="266" state="hidden" r:id="rId269"/>
    <sheet name="49a.1-Utility5" sheetId="315" state="hidden" r:id="rId270"/>
    <sheet name="50-Utility5" sheetId="372" state="hidden" r:id="rId271"/>
    <sheet name="50.1-Utility5" sheetId="267" state="hidden" r:id="rId272"/>
    <sheet name="51-Utility5" sheetId="284" state="hidden" r:id="rId273"/>
    <sheet name="51a-Utility5" sheetId="289" state="hidden" r:id="rId274"/>
    <sheet name="52-Utility5" sheetId="296" state="hidden" r:id="rId275"/>
    <sheet name="52.1-Utility5" sheetId="336" state="hidden" r:id="rId276"/>
    <sheet name="52.2-Utility5" sheetId="337" state="hidden" r:id="rId277"/>
    <sheet name="52.3-Utility5" sheetId="338" state="hidden" r:id="rId278"/>
    <sheet name="52-Totals-Utility5" sheetId="339" state="hidden" r:id="rId279"/>
    <sheet name="53-Utility5" sheetId="297" state="hidden" r:id="rId280"/>
    <sheet name="54-Utility5" sheetId="304" state="hidden" r:id="rId281"/>
    <sheet name="41-Utility6" sheetId="268" state="hidden" r:id="rId282"/>
    <sheet name="41a-Utility6" sheetId="363" state="hidden" r:id="rId283"/>
    <sheet name="41a.1-Utility6" sheetId="364" state="hidden" r:id="rId284"/>
    <sheet name="42-Utility6" sheetId="365" state="hidden" r:id="rId285"/>
    <sheet name="43-Utility6" sheetId="270" state="hidden" r:id="rId286"/>
    <sheet name="44-Utility6" sheetId="271" state="hidden" r:id="rId287"/>
    <sheet name="45-Utility6" sheetId="272" state="hidden" r:id="rId288"/>
    <sheet name="46-Utility6" sheetId="273" state="hidden" r:id="rId289"/>
    <sheet name="47-Utility6" sheetId="274" state="hidden" r:id="rId290"/>
    <sheet name="48-Utility6" sheetId="275" state="hidden" r:id="rId291"/>
    <sheet name="48a-Utility6" sheetId="379" state="hidden" r:id="rId292"/>
    <sheet name="49-Utility6" sheetId="276" state="hidden" r:id="rId293"/>
    <sheet name="49a-Utility6" sheetId="277" state="hidden" r:id="rId294"/>
    <sheet name="49a.1-Utility6" sheetId="317" state="hidden" r:id="rId295"/>
    <sheet name="50-Utility6" sheetId="373" state="hidden" r:id="rId296"/>
    <sheet name="50.1-Utility6" sheetId="278" state="hidden" r:id="rId297"/>
    <sheet name="51-Utility6" sheetId="279" state="hidden" r:id="rId298"/>
    <sheet name="51a-Utility6" sheetId="280" state="hidden" r:id="rId299"/>
    <sheet name="52-Utility6" sheetId="281" state="hidden" r:id="rId300"/>
    <sheet name="52.1-Utility6" sheetId="340" state="hidden" r:id="rId301"/>
    <sheet name="52.2-Utility6" sheetId="341" state="hidden" r:id="rId302"/>
    <sheet name="52.3-Utility6" sheetId="342" state="hidden" r:id="rId303"/>
    <sheet name="52-Totals-Utility6" sheetId="343" state="hidden" r:id="rId304"/>
    <sheet name="53-Utility6" sheetId="282" state="hidden" r:id="rId305"/>
    <sheet name="54-Utility6" sheetId="283" state="hidden" r:id="rId306"/>
    <sheet name="Sheet1" sheetId="380" state="hidden" r:id="rId307"/>
  </sheets>
  <definedNames>
    <definedName name="_xlnm._FilterDatabase" localSheetId="2" hidden="1">'KEY INPUTS'!$Z$6:$Z$572</definedName>
    <definedName name="_xlnm.Print_Area" localSheetId="4">'1- Cover'!$A$1:$O$67</definedName>
    <definedName name="_xlnm.Print_Area" localSheetId="59">'10 Totals Grants Receivable'!$A$1:$K$27</definedName>
    <definedName name="_xlnm.Print_Area" localSheetId="44">'10.10-Grants Receivable'!$A$1:$K$27</definedName>
    <definedName name="_xlnm.Print_Area" localSheetId="45">'10.11-Grants Receivable'!$A$1:$K$27</definedName>
    <definedName name="_xlnm.Print_Area" localSheetId="46">'10.12-Grants Receivable'!$A$1:$K$27</definedName>
    <definedName name="_xlnm.Print_Area" localSheetId="47">'10.13-Grants Receivable'!$A$1:$K$27</definedName>
    <definedName name="_xlnm.Print_Area" localSheetId="48">'10.14-Grants Receivable'!$A$1:$K$27</definedName>
    <definedName name="_xlnm.Print_Area" localSheetId="49">'10.15-Grants Receivable'!$A$1:$K$27</definedName>
    <definedName name="_xlnm.Print_Area" localSheetId="50">'10.16-Grants Receivable'!$A$1:$K$27</definedName>
    <definedName name="_xlnm.Print_Area" localSheetId="51">'10.17-Grants Receivable'!$A$1:$K$27</definedName>
    <definedName name="_xlnm.Print_Area" localSheetId="52">'10.18-Grants Receivable'!$A$1:$K$27</definedName>
    <definedName name="_xlnm.Print_Area" localSheetId="53">'10.19-Grants Receivable'!$A$1:$K$27</definedName>
    <definedName name="_xlnm.Print_Area" localSheetId="35">'10.1-Grants Receivable'!$A$1:$K$27</definedName>
    <definedName name="_xlnm.Print_Area" localSheetId="54">'10.20-Grants Receivable'!$A$1:$K$27</definedName>
    <definedName name="_xlnm.Print_Area" localSheetId="55">'10.21-Grants Receivable'!$A$1:$K$27</definedName>
    <definedName name="_xlnm.Print_Area" localSheetId="56">'10.22-Grants Receivable'!$A$1:$K$27</definedName>
    <definedName name="_xlnm.Print_Area" localSheetId="57">'10.23-Grants Receivable'!$A$1:$K$27</definedName>
    <definedName name="_xlnm.Print_Area" localSheetId="58">'10.24-Grants Receivable'!$A$1:$K$27</definedName>
    <definedName name="_xlnm.Print_Area" localSheetId="36">'10.2-Grants Receivable'!$A$1:$K$27</definedName>
    <definedName name="_xlnm.Print_Area" localSheetId="37">'10.3-Grants Receivable'!$A$1:$K$27</definedName>
    <definedName name="_xlnm.Print_Area" localSheetId="38">'10.4-Grants Receivable'!$A$1:$K$27</definedName>
    <definedName name="_xlnm.Print_Area" localSheetId="39">'10.5-Grants Receivable'!$A$1:$K$27</definedName>
    <definedName name="_xlnm.Print_Area" localSheetId="40">'10.6-Grants Receivable'!$A$1:$K$27</definedName>
    <definedName name="_xlnm.Print_Area" localSheetId="41">'10.7-Grants Receivable'!$A$1:$K$27</definedName>
    <definedName name="_xlnm.Print_Area" localSheetId="42">'10.8-Grants Receivable'!$A$1:$K$27</definedName>
    <definedName name="_xlnm.Print_Area" localSheetId="43">'10.9-Grants Receivable'!$A$1:$K$27</definedName>
    <definedName name="_xlnm.Print_Area" localSheetId="34">'10-Grants Receivable'!$A$1:$K$27</definedName>
    <definedName name="_xlnm.Print_Area" localSheetId="60">'11 Grants Approp Rsrv'!$A$1:$L$27</definedName>
    <definedName name="_xlnm.Print_Area" localSheetId="100">'11- Totals Grants Approp Rsrv'!$A$1:$L$27</definedName>
    <definedName name="_xlnm.Print_Area" localSheetId="61">'11.1 Grants Approp Rsrv'!$A$1:$L$27</definedName>
    <definedName name="_xlnm.Print_Area" localSheetId="70">'11.10 Grants Approp Rsrv'!$A$1:$L$27</definedName>
    <definedName name="_xlnm.Print_Area" localSheetId="71">'11.11 Grants Approp Rsrv'!$A$1:$L$27</definedName>
    <definedName name="_xlnm.Print_Area" localSheetId="72">'11.12 Grants Approp Rsrv'!$A$1:$L$27</definedName>
    <definedName name="_xlnm.Print_Area" localSheetId="73">'11.13 Grants Approp Rsrv'!$A$1:$L$27</definedName>
    <definedName name="_xlnm.Print_Area" localSheetId="74">'11.14 Grants Approp Rsrv'!$A$1:$L$27</definedName>
    <definedName name="_xlnm.Print_Area" localSheetId="75">'11.15 Grants Approp Rsrv'!$A$1:$L$27</definedName>
    <definedName name="_xlnm.Print_Area" localSheetId="76">'11.16 Grants Approp Rsrv'!$A$1:$L$27</definedName>
    <definedName name="_xlnm.Print_Area" localSheetId="77">'11.17 Grants Approp Rsrv'!$A$1:$L$27</definedName>
    <definedName name="_xlnm.Print_Area" localSheetId="78">'11.18 Grants Approp Rsrv'!$A$1:$L$27</definedName>
    <definedName name="_xlnm.Print_Area" localSheetId="79">'11.19 Grants Approp Rsrv'!$A$1:$L$27</definedName>
    <definedName name="_xlnm.Print_Area" localSheetId="62">'11.2 Grants Approp Rsrv'!$A$1:$L$27</definedName>
    <definedName name="_xlnm.Print_Area" localSheetId="80">'11.20 Grants Approp Rsrv'!$A$1:$L$27</definedName>
    <definedName name="_xlnm.Print_Area" localSheetId="81">'11.21 Grants Approp Rsrv'!$A$1:$L$27</definedName>
    <definedName name="_xlnm.Print_Area" localSheetId="82">'11.22 Grants Approp Rsrv'!$A$1:$L$27</definedName>
    <definedName name="_xlnm.Print_Area" localSheetId="83">'11.23 Grants Approp Rsrv'!$A$1:$L$27</definedName>
    <definedName name="_xlnm.Print_Area" localSheetId="84">'11.24 Grants Approp Rsrv'!$A$1:$L$27</definedName>
    <definedName name="_xlnm.Print_Area" localSheetId="85">'11.25 Grants Approp Rsrv'!$A$1:$L$27</definedName>
    <definedName name="_xlnm.Print_Area" localSheetId="86">'11.26 Grants Approp Rsrv'!$A$1:$L$27</definedName>
    <definedName name="_xlnm.Print_Area" localSheetId="87">'11.27 Grants Approp Rsrv'!$A$1:$L$27</definedName>
    <definedName name="_xlnm.Print_Area" localSheetId="88">'11.28 Grants Approp Rsrv'!$A$1:$L$27</definedName>
    <definedName name="_xlnm.Print_Area" localSheetId="89">'11.29 Grants Approp Rsrv'!$A$1:$L$27</definedName>
    <definedName name="_xlnm.Print_Area" localSheetId="63">'11.3 Grants Approp Rsrv'!$A$1:$L$27</definedName>
    <definedName name="_xlnm.Print_Area" localSheetId="90">'11.30 Grants Approp Rsrv'!$A$1:$L$27</definedName>
    <definedName name="_xlnm.Print_Area" localSheetId="91">'11.31 Grants Approp Rsrv'!$A$1:$L$27</definedName>
    <definedName name="_xlnm.Print_Area" localSheetId="92">'11.32 Grants Approp Rsrv'!$A$1:$L$27</definedName>
    <definedName name="_xlnm.Print_Area" localSheetId="93">'11.33 Grants Approp Rsrv'!$A$1:$L$27</definedName>
    <definedName name="_xlnm.Print_Area" localSheetId="94">'11.34 Grants Approp Rsrv'!$A$1:$L$27</definedName>
    <definedName name="_xlnm.Print_Area" localSheetId="95">'11.35 Grants Approp Rsrv'!$A$1:$L$27</definedName>
    <definedName name="_xlnm.Print_Area" localSheetId="96">'11.36 Grants Approp Rsrv'!$A$1:$L$27</definedName>
    <definedName name="_xlnm.Print_Area" localSheetId="97">'11.37 Grants Approp Rsrv'!$A$1:$L$27</definedName>
    <definedName name="_xlnm.Print_Area" localSheetId="98">'11.38 Grants Approp Rsrv'!$A$1:$L$27</definedName>
    <definedName name="_xlnm.Print_Area" localSheetId="99">'11.39 Grants Approp Rsrv'!$A$1:$L$27</definedName>
    <definedName name="_xlnm.Print_Area" localSheetId="64">'11.4 Grants Approp Rsrv'!$A$1:$L$27</definedName>
    <definedName name="_xlnm.Print_Area" localSheetId="65">'11.5 Grants Approp Rsrv'!$A$1:$L$27</definedName>
    <definedName name="_xlnm.Print_Area" localSheetId="66">'11.6 Grants Approp Rsrv'!$A$1:$L$27</definedName>
    <definedName name="_xlnm.Print_Area" localSheetId="67">'11.7 Grants Approp Rsrv'!$A$1:$L$27</definedName>
    <definedName name="_xlnm.Print_Area" localSheetId="68">'11.8 Grants Approp Rsrv'!$A$1:$L$27</definedName>
    <definedName name="_xlnm.Print_Area" localSheetId="69">'11.9 Grants Approp Rsrv'!$A$1:$L$27</definedName>
    <definedName name="_xlnm.Print_Area" localSheetId="104">'12 Total-Grants Unappropriated'!$A$1:$K$27</definedName>
    <definedName name="_xlnm.Print_Area" localSheetId="102">'12.1-Grants Unappropriated'!$A$1:$K$27</definedName>
    <definedName name="_xlnm.Print_Area" localSheetId="103">'12.2-Grants Unappropriated'!$A$1:$K$27</definedName>
    <definedName name="_xlnm.Print_Area" localSheetId="101">'12-Grants Unappropriated'!$A$1:$K$27</definedName>
    <definedName name="_xlnm.Print_Area" localSheetId="105">'13-Other Taxes'!$A$1:$H$50</definedName>
    <definedName name="_xlnm.Print_Area" localSheetId="106">'14-Other Taxes'!$A$1:$H$52</definedName>
    <definedName name="_xlnm.Print_Area" localSheetId="107">'15-Other Taxes'!$A$1:$J$47</definedName>
    <definedName name="_xlnm.Print_Area" localSheetId="113">'17a Totals-Budget Revenues'!$A$1:$J$49</definedName>
    <definedName name="_xlnm.Print_Area" localSheetId="110">'17a.1-Budget Revenues '!$A$1:$J$49</definedName>
    <definedName name="_xlnm.Print_Area" localSheetId="111">'17a.2-Budget Revenues'!$A$1:$J$49</definedName>
    <definedName name="_xlnm.Print_Area" localSheetId="112">'17a.3-Budget Revenues'!$A$1:$J$49</definedName>
    <definedName name="_xlnm.Print_Area" localSheetId="109">'17a-Budget Revenues'!$A$1:$J$49</definedName>
    <definedName name="_xlnm.Print_Area" localSheetId="108">'17-Budget Revenues'!$A$1:$J$49</definedName>
    <definedName name="_xlnm.Print_Area" localSheetId="114">'18-Budget Appropriations'!$A$1:$J$54</definedName>
    <definedName name="_xlnm.Print_Area" localSheetId="115">'19-Results of Op-Cur Fnd'!$A$1:$I$48</definedName>
    <definedName name="_xlnm.Print_Area" localSheetId="5">'1a - RMA Certification'!$A$1:$N$70</definedName>
    <definedName name="_xlnm.Print_Area" localSheetId="6">'1b - Local Exam Qual Cert'!$A$1:$M$68</definedName>
    <definedName name="_xlnm.Print_Area" localSheetId="7">'1c - Fed &amp; State Finan Asst.'!$A$1:$M$71</definedName>
    <definedName name="_xlnm.Print_Area" localSheetId="8">'2 - No Utility Fund Cert'!$A$1:$M$59</definedName>
    <definedName name="_xlnm.Print_Area" localSheetId="118">'20 Total-Misc Rev Not Ant'!$A$1:$H$47</definedName>
    <definedName name="_xlnm.Print_Area" localSheetId="117">'20.1-Misc Rev Not Ant'!$A$1:$H$47</definedName>
    <definedName name="_xlnm.Print_Area" localSheetId="116">'20-Misc Rev Not Ant'!$A$1:$H$47</definedName>
    <definedName name="_xlnm.Print_Area" localSheetId="119">'21-Current Fund Surplus'!$A$1:$L$50</definedName>
    <definedName name="_xlnm.Print_Area" localSheetId="121">'22a-Tax Levy Sale'!$A$1:$K$61</definedName>
    <definedName name="_xlnm.Print_Area" localSheetId="120">'22-CY Levy'!$A$1:$N$63</definedName>
    <definedName name="_xlnm.Print_Area" localSheetId="122">'23-SCVet Deductions'!$A$1:$J$54</definedName>
    <definedName name="_xlnm.Print_Area" localSheetId="123">'24-Reserves for Tax Appeals'!$A$1:$J$60</definedName>
    <definedName name="_xlnm.Print_Area" localSheetId="124">'26-Delinquent Taxes and Liens'!$A$1:$M$49</definedName>
    <definedName name="_xlnm.Print_Area" localSheetId="125">'27-Foreclosed Property'!$A$1:$L$50</definedName>
    <definedName name="_xlnm.Print_Area" localSheetId="126">'28-Deferred Charges'!$A$1:$N$58</definedName>
    <definedName name="_xlnm.Print_Area" localSheetId="127">'29-Special Emergency'!$A$1:$L$31</definedName>
    <definedName name="_xlnm.Print_Area" localSheetId="128">'30-Special Emergency'!$A$1:$L$31</definedName>
    <definedName name="_xlnm.Print_Area" localSheetId="131">'31A.1-Loan Schedule'!$A$1:$L$47</definedName>
    <definedName name="_xlnm.Print_Area" localSheetId="132">'31A.2-Loan Schedule'!$A$1:$L$47</definedName>
    <definedName name="_xlnm.Print_Area" localSheetId="130">'31A-Loan Schedule'!$A$1:$L$47</definedName>
    <definedName name="_xlnm.Print_Area" localSheetId="129">'31-Capital Bond Schedule'!$A$1:$L$47</definedName>
    <definedName name="_xlnm.Print_Area" localSheetId="133">'32-Bond Schedule'!$A$1:$L$48</definedName>
    <definedName name="_xlnm.Print_Area" localSheetId="136">'33 Totals-Note Debt Service'!$A$1:$L$29</definedName>
    <definedName name="_xlnm.Print_Area" localSheetId="135">'33.1-Note Debt Service'!$A$1:$L$29</definedName>
    <definedName name="_xlnm.Print_Area" localSheetId="134">'33-Note Debt Service'!$A$1:$L$29</definedName>
    <definedName name="_xlnm.Print_Area" localSheetId="138">'34a-Cap Lease Program Oblg'!$A$1:$I$27</definedName>
    <definedName name="_xlnm.Print_Area" localSheetId="137">'34-Assmt Note Debt Service'!$A$1:$L$29</definedName>
    <definedName name="_xlnm.Print_Area" localSheetId="139">'35- Cap Fund Imprv Auth'!$A$1:$L$29</definedName>
    <definedName name="_xlnm.Print_Area" localSheetId="149">'35 Totals- Cap Fund Imprv Auth'!$A$1:$L$29</definedName>
    <definedName name="_xlnm.Print_Area" localSheetId="140">'35.1- Cap Fund Imprv Auth '!$A$1:$L$29</definedName>
    <definedName name="_xlnm.Print_Area" localSheetId="141">'35.2- Cap Fund Imprv Auth'!$A$1:$L$29</definedName>
    <definedName name="_xlnm.Print_Area" localSheetId="142">'35.3- Cap Fund Imprv Auth'!$A$1:$L$29</definedName>
    <definedName name="_xlnm.Print_Area" localSheetId="143">'35.4- Cap Fund Imprv Auth'!$A$1:$L$29</definedName>
    <definedName name="_xlnm.Print_Area" localSheetId="144">'35.5- Cap Fund Imprv Auth'!$A$1:$L$29</definedName>
    <definedName name="_xlnm.Print_Area" localSheetId="145">'35.6- Cap Fund Imprv Auth'!$A$1:$L$29</definedName>
    <definedName name="_xlnm.Print_Area" localSheetId="146">'35.7- Cap Fund Imprv Auth'!$A$1:$L$29</definedName>
    <definedName name="_xlnm.Print_Area" localSheetId="147">'35.8- Cap Fund Imprv Auth'!$A$1:$L$29</definedName>
    <definedName name="_xlnm.Print_Area" localSheetId="148">'35.9- Cap Fund Imprv Auth'!$A$1:$L$29</definedName>
    <definedName name="_xlnm.Print_Area" localSheetId="150">'36- Capital Improvement Fund'!$A$1:$J$54</definedName>
    <definedName name="_xlnm.Print_Area" localSheetId="151">'37- Cap Fund Down Pymts'!$A$1:$J$53</definedName>
    <definedName name="_xlnm.Print_Area" localSheetId="152">'37- Cap Fund Down Pymts (2)'!$A$1:$J$52</definedName>
    <definedName name="_xlnm.Print_Area" localSheetId="153">'38- Capital Surplus'!$A$1:$J$62</definedName>
    <definedName name="_xlnm.Print_Area" localSheetId="154">'39- Req. Information'!$A$1:$Q$66</definedName>
    <definedName name="_xlnm.Print_Area" localSheetId="11">'3a.1-Trial Bal-Current Fund'!$A$1:$I$48</definedName>
    <definedName name="_xlnm.Print_Area" localSheetId="10">'3a-Trial Bal-Current Fund'!$A$1:$H$48</definedName>
    <definedName name="_xlnm.Print_Area" localSheetId="9">'3-Trial Bal-Current Fund'!$A$1:$H$48</definedName>
    <definedName name="_xlnm.Print_Area" localSheetId="155">'40'!$A$1:$K$68</definedName>
    <definedName name="_xlnm.Print_Area" localSheetId="158">'41a.1-Utility1'!$A$1:$H$50</definedName>
    <definedName name="_xlnm.Print_Area" localSheetId="183">'41a.1-Utility2'!$A$1:$H$50</definedName>
    <definedName name="_xlnm.Print_Area" localSheetId="208">'41a.1-Utility3'!$A$1:$H$50</definedName>
    <definedName name="_xlnm.Print_Area" localSheetId="233">'41a.1-Utility4'!$A$1:$H$50</definedName>
    <definedName name="_xlnm.Print_Area" localSheetId="258">'41a.1-Utility5'!$A$1:$H$50</definedName>
    <definedName name="_xlnm.Print_Area" localSheetId="283">'41a.1-Utility6'!$A$1:$H$50</definedName>
    <definedName name="_xlnm.Print_Area" localSheetId="157">'41a-Utility1'!$A$1:$H$50</definedName>
    <definedName name="_xlnm.Print_Area" localSheetId="182">'41a-Utility2'!$A$1:$H$50</definedName>
    <definedName name="_xlnm.Print_Area" localSheetId="207">'41a-Utility3'!$A$1:$H$50</definedName>
    <definedName name="_xlnm.Print_Area" localSheetId="232">'41a-Utility4'!$A$1:$H$50</definedName>
    <definedName name="_xlnm.Print_Area" localSheetId="257">'41a-Utility5'!$A$1:$H$50</definedName>
    <definedName name="_xlnm.Print_Area" localSheetId="282">'41a-Utility6'!$A$1:$H$50</definedName>
    <definedName name="_xlnm.Print_Area" localSheetId="156">'41-Utility1'!$A$1:$I$50</definedName>
    <definedName name="_xlnm.Print_Area" localSheetId="181">'41-Utility2'!$A$1:$I$50</definedName>
    <definedName name="_xlnm.Print_Area" localSheetId="206">'41-Utility3'!$A$1:$I$50</definedName>
    <definedName name="_xlnm.Print_Area" localSheetId="231">'41-Utility4'!$A$1:$I$50</definedName>
    <definedName name="_xlnm.Print_Area" localSheetId="256">'41-Utility5'!$A$1:$I$50</definedName>
    <definedName name="_xlnm.Print_Area" localSheetId="281">'41-Utility6'!$A$1:$I$50</definedName>
    <definedName name="_xlnm.Print_Area" localSheetId="159">'42-Utility1'!$A$1:$H$49</definedName>
    <definedName name="_xlnm.Print_Area" localSheetId="184">'42-Utility2'!$A$1:$H$49</definedName>
    <definedName name="_xlnm.Print_Area" localSheetId="209">'42-Utility3'!$A$1:$H$49</definedName>
    <definedName name="_xlnm.Print_Area" localSheetId="234">'42-Utility4'!$A$1:$H$49</definedName>
    <definedName name="_xlnm.Print_Area" localSheetId="259">'42-Utility5'!$A$1:$H$49</definedName>
    <definedName name="_xlnm.Print_Area" localSheetId="284">'42-Utility6'!$A$1:$H$49</definedName>
    <definedName name="_xlnm.Print_Area" localSheetId="160">'43-Utility1'!$A$1:$L$27</definedName>
    <definedName name="_xlnm.Print_Area" localSheetId="185">'43-Utility2'!$A$1:$L$27</definedName>
    <definedName name="_xlnm.Print_Area" localSheetId="210">'43-Utility3'!$A$1:$L$27</definedName>
    <definedName name="_xlnm.Print_Area" localSheetId="235">'43-Utility4'!$A$1:$L$27</definedName>
    <definedName name="_xlnm.Print_Area" localSheetId="260">'43-Utility5'!$A$1:$L$27</definedName>
    <definedName name="_xlnm.Print_Area" localSheetId="285">'43-Utility6'!$A$1:$L$27</definedName>
    <definedName name="_xlnm.Print_Area" localSheetId="161">'44-Utility1'!$A$1:$J$55</definedName>
    <definedName name="_xlnm.Print_Area" localSheetId="186">'44-Utility2'!$A$1:$J$55</definedName>
    <definedName name="_xlnm.Print_Area" localSheetId="211">'44-Utility3'!$A$1:$J$55</definedName>
    <definedName name="_xlnm.Print_Area" localSheetId="236">'44-Utility4'!$A$1:$J$55</definedName>
    <definedName name="_xlnm.Print_Area" localSheetId="261">'44-Utility5'!$A$1:$J$55</definedName>
    <definedName name="_xlnm.Print_Area" localSheetId="286">'44-Utility6'!$A$1:$J$55</definedName>
    <definedName name="_xlnm.Print_Area" localSheetId="162">'45-Utility1'!$A$1:$K$57</definedName>
    <definedName name="_xlnm.Print_Area" localSheetId="187">'45-Utility2'!$A$1:$K$57</definedName>
    <definedName name="_xlnm.Print_Area" localSheetId="212">'45-Utility3'!$A$1:$K$57</definedName>
    <definedName name="_xlnm.Print_Area" localSheetId="237">'45-Utility4'!$A$1:$K$57</definedName>
    <definedName name="_xlnm.Print_Area" localSheetId="262">'45-Utility5'!$A$1:$K$57</definedName>
    <definedName name="_xlnm.Print_Area" localSheetId="287">'45-Utility6'!$A$1:$K$57</definedName>
    <definedName name="_xlnm.Print_Area" localSheetId="163">'46-Utility1'!$A$1:$L$52</definedName>
    <definedName name="_xlnm.Print_Area" localSheetId="188">'46-Utility2'!$A$1:$L$52</definedName>
    <definedName name="_xlnm.Print_Area" localSheetId="213">'46-Utility3'!$A$1:$L$52</definedName>
    <definedName name="_xlnm.Print_Area" localSheetId="238">'46-Utility4'!$A$1:$L$52</definedName>
    <definedName name="_xlnm.Print_Area" localSheetId="263">'46-Utility5'!$A$1:$L$52</definedName>
    <definedName name="_xlnm.Print_Area" localSheetId="288">'46-Utility6'!$A$1:$L$52</definedName>
    <definedName name="_xlnm.Print_Area" localSheetId="164">'47-Utility1'!$A$1:$L$69</definedName>
    <definedName name="_xlnm.Print_Area" localSheetId="189">'47-Utility2'!$A$1:$L$69</definedName>
    <definedName name="_xlnm.Print_Area" localSheetId="214">'47-Utility3'!$A$1:$L$69</definedName>
    <definedName name="_xlnm.Print_Area" localSheetId="239">'47-Utility4'!$A$1:$L$69</definedName>
    <definedName name="_xlnm.Print_Area" localSheetId="264">'47-Utility5'!$A$1:$L$69</definedName>
    <definedName name="_xlnm.Print_Area" localSheetId="289">'47-Utility6'!$A$1:$L$69</definedName>
    <definedName name="_xlnm.Print_Area" localSheetId="166">'48a-Utility1'!$A$1:$L$31</definedName>
    <definedName name="_xlnm.Print_Area" localSheetId="191">'48a-Utility2'!$A$1:$L$31</definedName>
    <definedName name="_xlnm.Print_Area" localSheetId="216">'48a-Utility3'!$A$1:$L$31</definedName>
    <definedName name="_xlnm.Print_Area" localSheetId="241">'48a-Utility4'!$A$1:$L$31</definedName>
    <definedName name="_xlnm.Print_Area" localSheetId="266">'48a-Utility5'!$A$1:$L$31</definedName>
    <definedName name="_xlnm.Print_Area" localSheetId="291">'48a-Utility6'!$A$1:$L$31</definedName>
    <definedName name="_xlnm.Print_Area" localSheetId="165">'48-Utility1'!$A$1:$N$61</definedName>
    <definedName name="_xlnm.Print_Area" localSheetId="190">'48-Utility2'!$A$1:$N$61</definedName>
    <definedName name="_xlnm.Print_Area" localSheetId="215">'48-Utility3'!$A$1:$N$61</definedName>
    <definedName name="_xlnm.Print_Area" localSheetId="240">'48-Utility4'!$A$1:$N$61</definedName>
    <definedName name="_xlnm.Print_Area" localSheetId="265">'48-Utility5'!$A$1:$N$61</definedName>
    <definedName name="_xlnm.Print_Area" localSheetId="290">'48-Utility6'!$A$1:$N$61</definedName>
    <definedName name="_xlnm.Print_Area" localSheetId="169">'49a.1-Utility1'!$A$1:$L$51</definedName>
    <definedName name="_xlnm.Print_Area" localSheetId="194">'49a.1-Utility2'!$A$1:$L$51</definedName>
    <definedName name="_xlnm.Print_Area" localSheetId="219">'49a.1-Utility3'!$A$1:$L$51</definedName>
    <definedName name="_xlnm.Print_Area" localSheetId="244">'49a.1-Utility4'!$A$1:$L$51</definedName>
    <definedName name="_xlnm.Print_Area" localSheetId="269">'49a.1-Utility5'!$A$1:$L$51</definedName>
    <definedName name="_xlnm.Print_Area" localSheetId="294">'49a.1-Utility6'!$A$1:$L$51</definedName>
    <definedName name="_xlnm.Print_Area" localSheetId="168">'49a-Utility1'!$A$1:$L$51</definedName>
    <definedName name="_xlnm.Print_Area" localSheetId="193">'49a-Utility2'!$A$1:$L$51</definedName>
    <definedName name="_xlnm.Print_Area" localSheetId="218">'49a-Utility3'!$A$1:$L$51</definedName>
    <definedName name="_xlnm.Print_Area" localSheetId="243">'49a-Utility4'!$A$1:$L$51</definedName>
    <definedName name="_xlnm.Print_Area" localSheetId="268">'49a-Utility5'!$A$1:$L$51</definedName>
    <definedName name="_xlnm.Print_Area" localSheetId="293">'49a-Utility6'!$A$1:$L$51</definedName>
    <definedName name="_xlnm.Print_Area" localSheetId="167">'49-Utility1'!$A$1:$L$50</definedName>
    <definedName name="_xlnm.Print_Area" localSheetId="192">'49-Utility2'!$A$1:$L$50</definedName>
    <definedName name="_xlnm.Print_Area" localSheetId="217">'49-Utility3'!$A$1:$L$50</definedName>
    <definedName name="_xlnm.Print_Area" localSheetId="242">'49-Utility4'!$A$1:$L$50</definedName>
    <definedName name="_xlnm.Print_Area" localSheetId="267">'49-Utility5'!$A$1:$L$50</definedName>
    <definedName name="_xlnm.Print_Area" localSheetId="292">'49-Utility6'!$A$1:$L$50</definedName>
    <definedName name="_xlnm.Print_Area" localSheetId="12">'4-Trial Bal-Pub Assist Fnd'!$A$1:$H$46</definedName>
    <definedName name="_xlnm.Print_Area" localSheetId="171">'50.1-Utility1'!$A$1:$M$30</definedName>
    <definedName name="_xlnm.Print_Area" localSheetId="196">'50.1-Utility2'!$A$1:$M$30</definedName>
    <definedName name="_xlnm.Print_Area" localSheetId="221">'50.1-Utility3'!$A$1:$M$30</definedName>
    <definedName name="_xlnm.Print_Area" localSheetId="246">'50.1-Utility4'!$A$1:$M$30</definedName>
    <definedName name="_xlnm.Print_Area" localSheetId="271">'50.1-Utility5'!$A$1:$M$30</definedName>
    <definedName name="_xlnm.Print_Area" localSheetId="296">'50.1-Utility6'!$A$1:$M$30</definedName>
    <definedName name="_xlnm.Print_Area" localSheetId="170">'50-Utility1'!$A$1:$M$30</definedName>
    <definedName name="_xlnm.Print_Area" localSheetId="195">'50-Utility2'!$A$1:$M$30</definedName>
    <definedName name="_xlnm.Print_Area" localSheetId="220">'50-Utility3'!$A$1:$M$30</definedName>
    <definedName name="_xlnm.Print_Area" localSheetId="245">'50-Utility4'!$A$1:$M$30</definedName>
    <definedName name="_xlnm.Print_Area" localSheetId="270">'50-Utility5'!$A$1:$M$30</definedName>
    <definedName name="_xlnm.Print_Area" localSheetId="295">'50-Utility6'!$A$1:$M$30</definedName>
    <definedName name="_xlnm.Print_Area" localSheetId="173">'51a-Utility1'!$A$1:$I$27</definedName>
    <definedName name="_xlnm.Print_Area" localSheetId="198">'51a-Utility2'!$A$1:$I$27</definedName>
    <definedName name="_xlnm.Print_Area" localSheetId="223">'51a-Utility3'!$A$1:$I$27</definedName>
    <definedName name="_xlnm.Print_Area" localSheetId="248">'51a-Utility4'!$A$1:$I$27</definedName>
    <definedName name="_xlnm.Print_Area" localSheetId="273">'51a-Utility5'!$A$1:$I$27</definedName>
    <definedName name="_xlnm.Print_Area" localSheetId="298">'51a-Utility6'!$A$1:$I$27</definedName>
    <definedName name="_xlnm.Print_Area" localSheetId="172">'51-Utility1'!$A$1:$L$29</definedName>
    <definedName name="_xlnm.Print_Area" localSheetId="197">'51-Utility2'!$A$1:$L$29</definedName>
    <definedName name="_xlnm.Print_Area" localSheetId="222">'51-Utility3'!$A$1:$L$29</definedName>
    <definedName name="_xlnm.Print_Area" localSheetId="247">'51-Utility4'!$A$1:$L$29</definedName>
    <definedName name="_xlnm.Print_Area" localSheetId="272">'51-Utility5'!$A$1:$L$29</definedName>
    <definedName name="_xlnm.Print_Area" localSheetId="297">'51-Utility6'!$A$1:$L$29</definedName>
    <definedName name="_xlnm.Print_Area" localSheetId="175">'52.1-Utility1'!$A$1:$L$28</definedName>
    <definedName name="_xlnm.Print_Area" localSheetId="200">'52.1-Utility2'!$A$1:$L$28</definedName>
    <definedName name="_xlnm.Print_Area" localSheetId="225">'52.1-Utility3'!$A$1:$L$28</definedName>
    <definedName name="_xlnm.Print_Area" localSheetId="250">'52.1-Utility4'!$A$1:$L$28</definedName>
    <definedName name="_xlnm.Print_Area" localSheetId="275">'52.1-Utility5'!$A$1:$L$28</definedName>
    <definedName name="_xlnm.Print_Area" localSheetId="300">'52.1-Utility6'!$A$1:$L$28</definedName>
    <definedName name="_xlnm.Print_Area" localSheetId="176">'52.2-Utility1'!$A$1:$L$28</definedName>
    <definedName name="_xlnm.Print_Area" localSheetId="201">'52.2-Utility2'!$A$1:$L$28</definedName>
    <definedName name="_xlnm.Print_Area" localSheetId="226">'52.2-Utility3'!$A$1:$L$28</definedName>
    <definedName name="_xlnm.Print_Area" localSheetId="251">'52.2-Utility4'!$A$1:$L$28</definedName>
    <definedName name="_xlnm.Print_Area" localSheetId="276">'52.2-Utility5'!$A$1:$L$28</definedName>
    <definedName name="_xlnm.Print_Area" localSheetId="301">'52.2-Utility6'!$A$1:$L$28</definedName>
    <definedName name="_xlnm.Print_Area" localSheetId="177">'52.3-Utility1'!$A$1:$L$28</definedName>
    <definedName name="_xlnm.Print_Area" localSheetId="202">'52.3-Utility2'!$A$1:$L$28</definedName>
    <definedName name="_xlnm.Print_Area" localSheetId="227">'52.3-Utility3'!$A$1:$L$28</definedName>
    <definedName name="_xlnm.Print_Area" localSheetId="252">'52.3-Utility4'!$A$1:$L$28</definedName>
    <definedName name="_xlnm.Print_Area" localSheetId="277">'52.3-Utility5'!$A$1:$L$28</definedName>
    <definedName name="_xlnm.Print_Area" localSheetId="302">'52.3-Utility6'!$A$1:$L$28</definedName>
    <definedName name="_xlnm.Print_Area" localSheetId="178">'52-Totals-Utility1'!$A$1:$L$28</definedName>
    <definedName name="_xlnm.Print_Area" localSheetId="203">'52-Totals-Utility2'!$A$1:$L$28</definedName>
    <definedName name="_xlnm.Print_Area" localSheetId="228">'52-Totals-Utility3'!$A$1:$L$28</definedName>
    <definedName name="_xlnm.Print_Area" localSheetId="253">'52-Totals-Utility4'!$A$1:$L$28</definedName>
    <definedName name="_xlnm.Print_Area" localSheetId="278">'52-Totals-Utility5'!$A$1:$L$28</definedName>
    <definedName name="_xlnm.Print_Area" localSheetId="303">'52-Totals-Utility6'!$A$1:$L$28</definedName>
    <definedName name="_xlnm.Print_Area" localSheetId="174">'52-Utility1'!$A$1:$L$28</definedName>
    <definedName name="_xlnm.Print_Area" localSheetId="199">'52-Utility2'!$A$1:$L$28</definedName>
    <definedName name="_xlnm.Print_Area" localSheetId="224">'52-Utility3'!$A$1:$L$28</definedName>
    <definedName name="_xlnm.Print_Area" localSheetId="249">'52-Utility4'!$A$1:$L$28</definedName>
    <definedName name="_xlnm.Print_Area" localSheetId="274">'52-Utility5'!$A$1:$L$28</definedName>
    <definedName name="_xlnm.Print_Area" localSheetId="299">'52-Utility6'!$A$1:$L$28</definedName>
    <definedName name="_xlnm.Print_Area" localSheetId="179">'53-Utility1'!$A$1:$J$54</definedName>
    <definedName name="_xlnm.Print_Area" localSheetId="204">'53-Utility2'!$A$1:$J$54</definedName>
    <definedName name="_xlnm.Print_Area" localSheetId="229">'53-Utility3'!$A$1:$J$54</definedName>
    <definedName name="_xlnm.Print_Area" localSheetId="254">'53-Utility4'!$A$1:$J$54</definedName>
    <definedName name="_xlnm.Print_Area" localSheetId="279">'53-Utility5'!$A$1:$J$54</definedName>
    <definedName name="_xlnm.Print_Area" localSheetId="304">'53-Utility6'!$A$1:$J$54</definedName>
    <definedName name="_xlnm.Print_Area" localSheetId="180">'54-Utility1'!$A$1:$J$52</definedName>
    <definedName name="_xlnm.Print_Area" localSheetId="205">'54-Utility2'!$A$1:$J$52</definedName>
    <definedName name="_xlnm.Print_Area" localSheetId="230">'54-Utility3'!$A$1:$J$52</definedName>
    <definedName name="_xlnm.Print_Area" localSheetId="255">'54-Utility4'!$A$1:$J$52</definedName>
    <definedName name="_xlnm.Print_Area" localSheetId="280">'54-Utility5'!$A$1:$J$52</definedName>
    <definedName name="_xlnm.Print_Area" localSheetId="305">'54-Utility6'!$A$1:$J$52</definedName>
    <definedName name="_xlnm.Print_Area" localSheetId="13">'5-Trial Bal-Grants'!$A$1:$H$48</definedName>
    <definedName name="_xlnm.Print_Area" localSheetId="15">'6.1-Trial Bal-Trust Fnds'!$A$1:$H$48</definedName>
    <definedName name="_xlnm.Print_Area" localSheetId="16">'6.2-Trial Bal-Trust Fnds'!$A$1:$H$48</definedName>
    <definedName name="_xlnm.Print_Area" localSheetId="17">'6.3-Trial Bal-Trust Fnds'!$A$1:$H$48</definedName>
    <definedName name="_xlnm.Print_Area" localSheetId="18">'6.4-Trial Bal-Trust Fnds'!$A$1:$H$48</definedName>
    <definedName name="_xlnm.Print_Area" localSheetId="19">'6.TOTAL-Trial Bal-Trust Fnds'!$A$1:$H$48</definedName>
    <definedName name="_xlnm.Print_Area" localSheetId="1">'69 - Instructions'!$A$1:$M$87</definedName>
    <definedName name="_xlnm.Print_Area" localSheetId="21">'6b.1-Trust Fund Reserves'!$A$1:$M$50</definedName>
    <definedName name="_xlnm.Print_Area" localSheetId="22">'6b.2-Trust Fund Reserves'!$A$1:$M$50</definedName>
    <definedName name="_xlnm.Print_Area" localSheetId="23">'6b.3-Trust Fund Reserves'!$A$1:$M$50</definedName>
    <definedName name="_xlnm.Print_Area" localSheetId="24">'6b-Total Trust Fund Reserves'!$A$1:$M$50</definedName>
    <definedName name="_xlnm.Print_Area" localSheetId="20">'6b-Trust Fund Reserves'!$A$1:$M$50</definedName>
    <definedName name="_xlnm.Print_Area" localSheetId="14">'6-Trial Bal-Trust Fnds'!$A$1:$H$47</definedName>
    <definedName name="_xlnm.Print_Area" localSheetId="25">'7-Trust Asm Cash &amp; Investments'!$A$1:$L$27</definedName>
    <definedName name="_xlnm.Print_Area" localSheetId="27">'8.1-Trial Bal-Gen Cap Fund'!$A$1:$H$48</definedName>
    <definedName name="_xlnm.Print_Area" localSheetId="26">'8-Trial Bal-Gen Cap Fund'!$A$1:$H$48</definedName>
    <definedName name="_xlnm.Print_Area" localSheetId="33">'9a TOTAL-Cash Reconciliation'!$A$1:$F$49</definedName>
    <definedName name="_xlnm.Print_Area" localSheetId="30">'9a.1-Cash Reconciliation'!$A$1:$F$49</definedName>
    <definedName name="_xlnm.Print_Area" localSheetId="31">'9a.2-Cash Reconciliation'!$A$1:$F$49</definedName>
    <definedName name="_xlnm.Print_Area" localSheetId="32">'9a.3-Cash Reconciliation'!$A$1:$F$49</definedName>
    <definedName name="_xlnm.Print_Area" localSheetId="29">'9a-Cash Reconciliation'!$A$1:$F$49</definedName>
    <definedName name="_xlnm.Print_Area" localSheetId="28">'9-Cash Reconciliation'!$A$1:$I$52</definedName>
    <definedName name="_xlnm.Print_Area" localSheetId="0">Instructions!$A$1:$D$26</definedName>
    <definedName name="_xlnm.Print_Area" localSheetId="2">'KEY INPUTS'!$C$1:$E$61</definedName>
    <definedName name="Utility_Count">'KEY INPUTS'!$E$52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9" i="21" l="1"/>
  <c r="G18" i="20"/>
  <c r="G12" i="7"/>
  <c r="I14" i="97" l="1"/>
  <c r="G35" i="9"/>
  <c r="H17" i="205"/>
  <c r="H31" i="1"/>
  <c r="K11" i="97" l="1"/>
  <c r="K10" i="97"/>
  <c r="I14" i="27"/>
  <c r="H20" i="12" l="1"/>
  <c r="H18" i="12"/>
  <c r="G18" i="355"/>
  <c r="K12" i="97" l="1"/>
  <c r="I11" i="97"/>
  <c r="H13" i="12"/>
  <c r="H6" i="12" l="1"/>
  <c r="K14" i="46" l="1"/>
  <c r="L13" i="46"/>
  <c r="K12" i="46"/>
  <c r="K11" i="46"/>
  <c r="K10" i="46"/>
  <c r="K27" i="45"/>
  <c r="K26" i="45"/>
  <c r="K25" i="45"/>
  <c r="K24" i="45"/>
  <c r="K23" i="45"/>
  <c r="L22" i="45"/>
  <c r="K21" i="45"/>
  <c r="K20" i="45"/>
  <c r="K19" i="45"/>
  <c r="K16" i="45"/>
  <c r="K17" i="45"/>
  <c r="K18" i="45"/>
  <c r="K15" i="45"/>
  <c r="L14" i="45"/>
  <c r="L13" i="45"/>
  <c r="K12" i="45"/>
  <c r="K11" i="45"/>
  <c r="K9" i="45"/>
  <c r="L10" i="45"/>
  <c r="K12" i="43" l="1"/>
  <c r="K11" i="43"/>
  <c r="K10" i="43"/>
  <c r="K9" i="43"/>
  <c r="I23" i="36"/>
  <c r="L26" i="30"/>
  <c r="I36" i="224" l="1"/>
  <c r="I12" i="117" l="1"/>
  <c r="K9" i="368"/>
  <c r="L37" i="109" l="1"/>
  <c r="G18" i="104" l="1"/>
  <c r="G13" i="103"/>
  <c r="Q60" i="2"/>
  <c r="Q61" i="2" s="1"/>
  <c r="Q62" i="2" s="1"/>
  <c r="Q63" i="2" s="1"/>
  <c r="Q64" i="2" s="1"/>
  <c r="Q65" i="2" s="1"/>
  <c r="Q66" i="2" s="1"/>
  <c r="Q67" i="2" s="1"/>
  <c r="Q68" i="2" s="1"/>
  <c r="Q69" i="2" s="1"/>
  <c r="Q70" i="2" s="1"/>
  <c r="Q71" i="2" s="1"/>
  <c r="Q72" i="2" s="1"/>
  <c r="Q73" i="2" s="1"/>
  <c r="Q74" i="2" s="1"/>
  <c r="Q75" i="2" s="1"/>
  <c r="Q76" i="2" s="1"/>
  <c r="Q77" i="2" s="1"/>
  <c r="Q78" i="2" s="1"/>
  <c r="Q79" i="2" s="1"/>
  <c r="Q80" i="2" s="1"/>
  <c r="Q81" i="2" s="1"/>
  <c r="Q82" i="2" s="1"/>
  <c r="Q83" i="2" s="1"/>
  <c r="Q84" i="2" s="1"/>
  <c r="Q85" i="2" s="1"/>
  <c r="Q86" i="2" s="1"/>
  <c r="Q87" i="2" s="1"/>
  <c r="Q88" i="2" s="1"/>
  <c r="Q89" i="2" s="1"/>
  <c r="Q90" i="2" s="1"/>
  <c r="Q91" i="2" s="1"/>
  <c r="Q92" i="2" s="1"/>
  <c r="Q93" i="2" s="1"/>
  <c r="Q94" i="2" s="1"/>
  <c r="Q95" i="2" s="1"/>
  <c r="Q96" i="2" s="1"/>
  <c r="Q97" i="2" s="1"/>
  <c r="Q98" i="2" s="1"/>
  <c r="Q99" i="2" s="1"/>
  <c r="Q100" i="2" s="1"/>
  <c r="Q101" i="2" s="1"/>
  <c r="Q102" i="2" s="1"/>
  <c r="Q103" i="2" s="1"/>
  <c r="Q104" i="2" s="1"/>
  <c r="Q105" i="2" s="1"/>
  <c r="Q106" i="2" s="1"/>
  <c r="Q107" i="2" s="1"/>
  <c r="Q108" i="2" s="1"/>
  <c r="Q109" i="2" s="1"/>
  <c r="Q110" i="2" s="1"/>
  <c r="Q111" i="2" s="1"/>
  <c r="Q112" i="2" s="1"/>
  <c r="Q113" i="2" s="1"/>
  <c r="Q114" i="2" s="1"/>
  <c r="Q115" i="2" s="1"/>
  <c r="Q116" i="2" s="1"/>
  <c r="Q117" i="2" s="1"/>
  <c r="Q118" i="2" s="1"/>
  <c r="Q119" i="2" s="1"/>
  <c r="Q120" i="2" s="1"/>
  <c r="Q121" i="2" s="1"/>
  <c r="Q122" i="2" s="1"/>
  <c r="Q123" i="2" s="1"/>
  <c r="Q124" i="2" s="1"/>
  <c r="Q125" i="2" s="1"/>
  <c r="Q126" i="2" s="1"/>
  <c r="Q127" i="2" s="1"/>
  <c r="Q128" i="2" s="1"/>
  <c r="Q129" i="2" s="1"/>
  <c r="Q130" i="2" s="1"/>
  <c r="Q131" i="2" s="1"/>
  <c r="Q132" i="2" s="1"/>
  <c r="Q133" i="2" s="1"/>
  <c r="Q134" i="2" s="1"/>
  <c r="Q135" i="2" s="1"/>
  <c r="Q136" i="2" s="1"/>
  <c r="Q137" i="2" s="1"/>
  <c r="Q138" i="2" s="1"/>
  <c r="Q139" i="2" s="1"/>
  <c r="Q140" i="2" s="1"/>
  <c r="Q141" i="2" s="1"/>
  <c r="Q142" i="2" s="1"/>
  <c r="Q143" i="2" s="1"/>
  <c r="Q144" i="2" s="1"/>
  <c r="Q145" i="2" s="1"/>
  <c r="Q146" i="2" s="1"/>
  <c r="Q147" i="2" s="1"/>
  <c r="Q148" i="2" s="1"/>
  <c r="Q149" i="2" s="1"/>
  <c r="Q150" i="2" s="1"/>
  <c r="Q151" i="2" s="1"/>
  <c r="Q152" i="2" s="1"/>
  <c r="Q153" i="2" s="1"/>
  <c r="Q154" i="2" s="1"/>
  <c r="Q155" i="2" s="1"/>
  <c r="Q156" i="2" s="1"/>
  <c r="Q157" i="2" s="1"/>
  <c r="Q158" i="2" s="1"/>
  <c r="Q159" i="2" s="1"/>
  <c r="Q160" i="2" s="1"/>
  <c r="Q161" i="2" s="1"/>
  <c r="Q162" i="2" s="1"/>
  <c r="Q163" i="2" s="1"/>
  <c r="Q164" i="2" s="1"/>
  <c r="Q165" i="2" s="1"/>
  <c r="Q166" i="2" s="1"/>
  <c r="Q167" i="2" s="1"/>
  <c r="Q168" i="2" s="1"/>
  <c r="Q169" i="2" s="1"/>
  <c r="Q170" i="2" s="1"/>
  <c r="Q171" i="2" s="1"/>
  <c r="Q172" i="2" s="1"/>
  <c r="Q173" i="2" s="1"/>
  <c r="Q174" i="2" s="1"/>
  <c r="Q175" i="2" s="1"/>
  <c r="Q176" i="2" s="1"/>
  <c r="Q177" i="2" s="1"/>
  <c r="Q178" i="2" s="1"/>
  <c r="Q179" i="2" s="1"/>
  <c r="Q180" i="2" s="1"/>
  <c r="Q181" i="2" s="1"/>
  <c r="Q182" i="2" s="1"/>
  <c r="Q183" i="2" s="1"/>
  <c r="Q184" i="2" s="1"/>
  <c r="Q185" i="2" s="1"/>
  <c r="Q186" i="2" s="1"/>
  <c r="Q187" i="2" s="1"/>
  <c r="Q188" i="2" s="1"/>
  <c r="Q189" i="2" s="1"/>
  <c r="Q190" i="2" s="1"/>
  <c r="Q191" i="2" s="1"/>
  <c r="Q192" i="2" s="1"/>
  <c r="Q193" i="2" s="1"/>
  <c r="Q194" i="2" s="1"/>
  <c r="Q195" i="2" s="1"/>
  <c r="Q196" i="2" s="1"/>
  <c r="Q197" i="2" s="1"/>
  <c r="Q198" i="2" s="1"/>
  <c r="Q199" i="2" s="1"/>
  <c r="Q200" i="2" s="1"/>
  <c r="Q201" i="2" s="1"/>
  <c r="Q202" i="2" s="1"/>
  <c r="Q203" i="2" s="1"/>
  <c r="Q204" i="2" s="1"/>
  <c r="Q205" i="2" s="1"/>
  <c r="Q206" i="2" s="1"/>
  <c r="Q207" i="2" s="1"/>
  <c r="Q208" i="2" s="1"/>
  <c r="Q209" i="2" s="1"/>
  <c r="Q210" i="2" s="1"/>
  <c r="Q211" i="2" s="1"/>
  <c r="Q212" i="2" s="1"/>
  <c r="Q213" i="2" s="1"/>
  <c r="Q214" i="2" s="1"/>
  <c r="Q215" i="2" s="1"/>
  <c r="Q216" i="2" s="1"/>
  <c r="Q217" i="2" s="1"/>
  <c r="Q218" i="2" s="1"/>
  <c r="Q219" i="2" s="1"/>
  <c r="Q220" i="2" s="1"/>
  <c r="Q221" i="2" s="1"/>
  <c r="Q222" i="2" s="1"/>
  <c r="Q223" i="2" s="1"/>
  <c r="Q224" i="2" s="1"/>
  <c r="Q225" i="2" s="1"/>
  <c r="Q226" i="2" s="1"/>
  <c r="Q227" i="2" s="1"/>
  <c r="Q228" i="2" s="1"/>
  <c r="Q229" i="2" s="1"/>
  <c r="Q230" i="2" s="1"/>
  <c r="Q231" i="2" s="1"/>
  <c r="Q232" i="2" s="1"/>
  <c r="Q233" i="2" s="1"/>
  <c r="Q234" i="2" s="1"/>
  <c r="Q235" i="2" s="1"/>
  <c r="Q236" i="2" s="1"/>
  <c r="Q237" i="2" s="1"/>
  <c r="Q238" i="2" s="1"/>
  <c r="Q239" i="2" s="1"/>
  <c r="Q240" i="2" s="1"/>
  <c r="Q241" i="2" s="1"/>
  <c r="Q242" i="2" s="1"/>
  <c r="Q243" i="2" s="1"/>
  <c r="Q244" i="2" s="1"/>
  <c r="Q245" i="2" s="1"/>
  <c r="Q246" i="2" s="1"/>
  <c r="Q247" i="2" s="1"/>
  <c r="Q248" i="2" s="1"/>
  <c r="Q249" i="2" s="1"/>
  <c r="Q250" i="2" s="1"/>
  <c r="Q251" i="2" s="1"/>
  <c r="Q252" i="2" s="1"/>
  <c r="Q253" i="2" s="1"/>
  <c r="Q254" i="2" s="1"/>
  <c r="Q255" i="2" s="1"/>
  <c r="Q256" i="2" s="1"/>
  <c r="Q257" i="2" s="1"/>
  <c r="Q258" i="2" s="1"/>
  <c r="Q259" i="2" s="1"/>
  <c r="Q260" i="2" s="1"/>
  <c r="Q261" i="2" s="1"/>
  <c r="Q262" i="2" s="1"/>
  <c r="Q263" i="2" s="1"/>
  <c r="Q264" i="2" s="1"/>
  <c r="Q265" i="2" s="1"/>
  <c r="Q266" i="2" s="1"/>
  <c r="Q267" i="2" s="1"/>
  <c r="Q268" i="2" s="1"/>
  <c r="Q269" i="2" s="1"/>
  <c r="Q270" i="2" s="1"/>
  <c r="Q271" i="2" s="1"/>
  <c r="Q272" i="2" s="1"/>
  <c r="Q273" i="2" s="1"/>
  <c r="Q274" i="2" s="1"/>
  <c r="Q275" i="2" s="1"/>
  <c r="Q276" i="2" s="1"/>
  <c r="Q277" i="2" s="1"/>
  <c r="Q278" i="2" s="1"/>
  <c r="Q279" i="2" s="1"/>
  <c r="Q280" i="2" s="1"/>
  <c r="Q281" i="2" s="1"/>
  <c r="Q282" i="2" s="1"/>
  <c r="Q283" i="2" s="1"/>
  <c r="Q284" i="2" s="1"/>
  <c r="Q285" i="2" s="1"/>
  <c r="Q286" i="2" s="1"/>
  <c r="Q287" i="2" s="1"/>
  <c r="Q288" i="2" s="1"/>
  <c r="Q289" i="2" s="1"/>
  <c r="Q290" i="2" s="1"/>
  <c r="Q291" i="2" s="1"/>
  <c r="Q292" i="2" s="1"/>
  <c r="Q293" i="2" s="1"/>
  <c r="Q294" i="2" s="1"/>
  <c r="Q295" i="2" s="1"/>
  <c r="Q296" i="2" s="1"/>
  <c r="Q297" i="2" s="1"/>
  <c r="Q298" i="2" s="1"/>
  <c r="Q299" i="2" s="1"/>
  <c r="Q300" i="2" s="1"/>
  <c r="Q301" i="2" s="1"/>
  <c r="Q302" i="2" s="1"/>
  <c r="Q303" i="2" s="1"/>
  <c r="Q304" i="2" s="1"/>
  <c r="Q305" i="2" s="1"/>
  <c r="Q306" i="2" s="1"/>
  <c r="Q307" i="2" s="1"/>
  <c r="Q308" i="2" s="1"/>
  <c r="Q309" i="2" s="1"/>
  <c r="Q310" i="2" s="1"/>
  <c r="Q311" i="2" s="1"/>
  <c r="Q312" i="2" s="1"/>
  <c r="Q313" i="2" s="1"/>
  <c r="Q314" i="2" s="1"/>
  <c r="Q315" i="2" s="1"/>
  <c r="Q316" i="2" s="1"/>
  <c r="Q317" i="2" s="1"/>
  <c r="Q318" i="2" s="1"/>
  <c r="Q319" i="2" s="1"/>
  <c r="Q320" i="2" s="1"/>
  <c r="Q321" i="2" s="1"/>
  <c r="Q322" i="2" s="1"/>
  <c r="Q323" i="2" s="1"/>
  <c r="Q324" i="2" s="1"/>
  <c r="Q325" i="2" s="1"/>
  <c r="Q326" i="2" s="1"/>
  <c r="Q327" i="2" s="1"/>
  <c r="Q328" i="2" s="1"/>
  <c r="Q329" i="2" s="1"/>
  <c r="Q330" i="2" s="1"/>
  <c r="Q331" i="2" s="1"/>
  <c r="Q332" i="2" s="1"/>
  <c r="Q333" i="2" s="1"/>
  <c r="Q334" i="2" s="1"/>
  <c r="Q335" i="2" s="1"/>
  <c r="Q336" i="2" s="1"/>
  <c r="Q337" i="2" s="1"/>
  <c r="Q338" i="2" s="1"/>
  <c r="Q339" i="2" s="1"/>
  <c r="Q340" i="2" s="1"/>
  <c r="Q341" i="2" s="1"/>
  <c r="Q342" i="2" s="1"/>
  <c r="Q343" i="2" s="1"/>
  <c r="Q344" i="2" s="1"/>
  <c r="Q345" i="2" s="1"/>
  <c r="Q346" i="2" s="1"/>
  <c r="Q347" i="2" s="1"/>
  <c r="Q348" i="2" s="1"/>
  <c r="Q349" i="2" s="1"/>
  <c r="Q350" i="2" s="1"/>
  <c r="Q351" i="2" s="1"/>
  <c r="Q352" i="2" s="1"/>
  <c r="Q353" i="2" s="1"/>
  <c r="Q354" i="2" s="1"/>
  <c r="Q355" i="2" s="1"/>
  <c r="Q356" i="2" s="1"/>
  <c r="Q357" i="2" s="1"/>
  <c r="Q358" i="2" s="1"/>
  <c r="Q359" i="2" s="1"/>
  <c r="Q360" i="2" s="1"/>
  <c r="Q361" i="2" s="1"/>
  <c r="Q362" i="2" s="1"/>
  <c r="Q363" i="2" s="1"/>
  <c r="Q364" i="2" s="1"/>
  <c r="Q365" i="2" s="1"/>
  <c r="Q366" i="2" s="1"/>
  <c r="Q367" i="2" s="1"/>
  <c r="Q368" i="2" s="1"/>
  <c r="Q369" i="2" s="1"/>
  <c r="Q370" i="2" s="1"/>
  <c r="Q371" i="2" s="1"/>
  <c r="Q372" i="2" s="1"/>
  <c r="Q373" i="2" s="1"/>
  <c r="Q374" i="2" s="1"/>
  <c r="Q375" i="2" s="1"/>
  <c r="Q376" i="2" s="1"/>
  <c r="Q377" i="2" s="1"/>
  <c r="Q378" i="2" s="1"/>
  <c r="Q379" i="2" s="1"/>
  <c r="Q380" i="2" s="1"/>
  <c r="Q381" i="2" s="1"/>
  <c r="Q382" i="2" s="1"/>
  <c r="Q383" i="2" s="1"/>
  <c r="Q384" i="2" s="1"/>
  <c r="Q385" i="2" s="1"/>
  <c r="Q386" i="2" s="1"/>
  <c r="Q387" i="2" s="1"/>
  <c r="Q388" i="2" s="1"/>
  <c r="Q389" i="2" s="1"/>
  <c r="Q390" i="2" s="1"/>
  <c r="Q391" i="2" s="1"/>
  <c r="Q392" i="2" s="1"/>
  <c r="Q393" i="2" s="1"/>
  <c r="Q394" i="2" s="1"/>
  <c r="Q395" i="2" s="1"/>
  <c r="Q396" i="2" s="1"/>
  <c r="Q397" i="2" s="1"/>
  <c r="Q398" i="2" s="1"/>
  <c r="Q399" i="2" s="1"/>
  <c r="Q400" i="2" s="1"/>
  <c r="Q401" i="2" s="1"/>
  <c r="Q402" i="2" s="1"/>
  <c r="Q403" i="2" s="1"/>
  <c r="Q404" i="2" s="1"/>
  <c r="Q405" i="2" s="1"/>
  <c r="Q406" i="2" s="1"/>
  <c r="Q407" i="2" s="1"/>
  <c r="Q408" i="2" s="1"/>
  <c r="Q409" i="2" s="1"/>
  <c r="Q410" i="2" s="1"/>
  <c r="Q411" i="2" s="1"/>
  <c r="Q412" i="2" s="1"/>
  <c r="Q413" i="2" s="1"/>
  <c r="Q414" i="2" s="1"/>
  <c r="Q415" i="2" s="1"/>
  <c r="Q416" i="2" s="1"/>
  <c r="Q417" i="2" s="1"/>
  <c r="Q418" i="2" s="1"/>
  <c r="Q419" i="2" s="1"/>
  <c r="Q420" i="2" s="1"/>
  <c r="Q421" i="2" s="1"/>
  <c r="Q422" i="2" s="1"/>
  <c r="Q423" i="2" s="1"/>
  <c r="Q424" i="2" s="1"/>
  <c r="Q425" i="2" s="1"/>
  <c r="Q426" i="2" s="1"/>
  <c r="Q427" i="2" s="1"/>
  <c r="Q428" i="2" s="1"/>
  <c r="Q429" i="2" s="1"/>
  <c r="Q430" i="2" s="1"/>
  <c r="Q431" i="2" s="1"/>
  <c r="Q432" i="2" s="1"/>
  <c r="Q433" i="2" s="1"/>
  <c r="Q434" i="2" s="1"/>
  <c r="Q435" i="2" s="1"/>
  <c r="Q436" i="2" s="1"/>
  <c r="Q437" i="2" s="1"/>
  <c r="Q438" i="2" s="1"/>
  <c r="Q439" i="2" s="1"/>
  <c r="Q440" i="2" s="1"/>
  <c r="Q441" i="2" s="1"/>
  <c r="Q442" i="2" s="1"/>
  <c r="Q443" i="2" s="1"/>
  <c r="Q444" i="2" s="1"/>
  <c r="Q445" i="2" s="1"/>
  <c r="Q446" i="2" s="1"/>
  <c r="Q447" i="2" s="1"/>
  <c r="Q448" i="2" s="1"/>
  <c r="Q449" i="2" s="1"/>
  <c r="Q450" i="2" s="1"/>
  <c r="Q451" i="2" s="1"/>
  <c r="Q452" i="2" s="1"/>
  <c r="Q453" i="2" s="1"/>
  <c r="Q454" i="2" s="1"/>
  <c r="Q455" i="2" s="1"/>
  <c r="Q456" i="2" s="1"/>
  <c r="Q457" i="2" s="1"/>
  <c r="Q458" i="2" s="1"/>
  <c r="Q459" i="2" s="1"/>
  <c r="Q460" i="2" s="1"/>
  <c r="Q461" i="2" s="1"/>
  <c r="Q462" i="2" s="1"/>
  <c r="Q463" i="2" s="1"/>
  <c r="Q464" i="2" s="1"/>
  <c r="Q465" i="2" s="1"/>
  <c r="Q466" i="2" s="1"/>
  <c r="Q467" i="2" s="1"/>
  <c r="Q468" i="2" s="1"/>
  <c r="Q469" i="2" s="1"/>
  <c r="Q470" i="2" s="1"/>
  <c r="Q471" i="2" s="1"/>
  <c r="Q472" i="2" s="1"/>
  <c r="Q473" i="2" s="1"/>
  <c r="Q474" i="2" s="1"/>
  <c r="Q475" i="2" s="1"/>
  <c r="Q476" i="2" s="1"/>
  <c r="Q477" i="2" s="1"/>
  <c r="Q478" i="2" s="1"/>
  <c r="Q479" i="2" s="1"/>
  <c r="Q480" i="2" s="1"/>
  <c r="Q481" i="2" s="1"/>
  <c r="Q482" i="2" s="1"/>
  <c r="Q483" i="2" s="1"/>
  <c r="Q484" i="2" s="1"/>
  <c r="Q485" i="2" s="1"/>
  <c r="Q486" i="2" s="1"/>
  <c r="Q487" i="2" s="1"/>
  <c r="Q488" i="2" s="1"/>
  <c r="Q489" i="2" s="1"/>
  <c r="Q490" i="2" s="1"/>
  <c r="Q491" i="2" s="1"/>
  <c r="Q492" i="2" s="1"/>
  <c r="Q493" i="2" s="1"/>
  <c r="Q494" i="2" s="1"/>
  <c r="Q495" i="2" s="1"/>
  <c r="Q496" i="2" s="1"/>
  <c r="Q497" i="2" s="1"/>
  <c r="Q498" i="2" s="1"/>
  <c r="Q499" i="2" s="1"/>
  <c r="Q500" i="2" s="1"/>
  <c r="Q501" i="2" s="1"/>
  <c r="Q502" i="2" s="1"/>
  <c r="Q503" i="2" s="1"/>
  <c r="Q504" i="2" s="1"/>
  <c r="Q505" i="2" s="1"/>
  <c r="Q506" i="2" s="1"/>
  <c r="Q507" i="2" s="1"/>
  <c r="Q508" i="2" s="1"/>
  <c r="Q509" i="2" s="1"/>
  <c r="Q510" i="2" s="1"/>
  <c r="Q511" i="2" s="1"/>
  <c r="Q512" i="2" s="1"/>
  <c r="Q513" i="2" s="1"/>
  <c r="Q514" i="2" s="1"/>
  <c r="Q515" i="2" s="1"/>
  <c r="Q516" i="2" s="1"/>
  <c r="Q517" i="2" s="1"/>
  <c r="Q518" i="2" s="1"/>
  <c r="Q519" i="2" s="1"/>
  <c r="Q520" i="2" s="1"/>
  <c r="Q521" i="2" s="1"/>
  <c r="Q522" i="2" s="1"/>
  <c r="Q523" i="2" s="1"/>
  <c r="Q524" i="2" s="1"/>
  <c r="Q525" i="2" s="1"/>
  <c r="Q526" i="2" s="1"/>
  <c r="Q527" i="2" s="1"/>
  <c r="Q528" i="2" s="1"/>
  <c r="Q529" i="2" s="1"/>
  <c r="Q530" i="2" s="1"/>
  <c r="Q531" i="2" s="1"/>
  <c r="Q532" i="2" s="1"/>
  <c r="Q533" i="2" s="1"/>
  <c r="Q534" i="2" s="1"/>
  <c r="Q535" i="2" s="1"/>
  <c r="Q536" i="2" s="1"/>
  <c r="Q537" i="2" s="1"/>
  <c r="Q538" i="2" s="1"/>
  <c r="Q539" i="2" s="1"/>
  <c r="Q540" i="2" s="1"/>
  <c r="Q541" i="2" s="1"/>
  <c r="Q542" i="2" s="1"/>
  <c r="Q543" i="2" s="1"/>
  <c r="Q544" i="2" s="1"/>
  <c r="Q545" i="2" s="1"/>
  <c r="Q546" i="2" s="1"/>
  <c r="Q547" i="2" s="1"/>
  <c r="Q548" i="2" s="1"/>
  <c r="Q549" i="2" s="1"/>
  <c r="Q550" i="2" s="1"/>
  <c r="Q551" i="2" s="1"/>
  <c r="Q552" i="2" s="1"/>
  <c r="Q553" i="2" s="1"/>
  <c r="Q554" i="2" s="1"/>
  <c r="Q555" i="2" s="1"/>
  <c r="Q556" i="2" s="1"/>
  <c r="Q557" i="2" s="1"/>
  <c r="Q558" i="2" s="1"/>
  <c r="Q559" i="2" s="1"/>
  <c r="Q560" i="2" s="1"/>
  <c r="Q561" i="2" s="1"/>
  <c r="Q562" i="2" s="1"/>
  <c r="Q563" i="2" s="1"/>
  <c r="Q564" i="2" s="1"/>
  <c r="Q565" i="2" s="1"/>
  <c r="Q566" i="2" s="1"/>
  <c r="Q567" i="2" s="1"/>
  <c r="Q568" i="2" s="1"/>
  <c r="Q569" i="2" s="1"/>
  <c r="Q570" i="2" s="1"/>
  <c r="Q571" i="2" s="1"/>
  <c r="Q572" i="2" s="1"/>
  <c r="Q573" i="2" s="1"/>
  <c r="Q574" i="2" s="1"/>
  <c r="Q575" i="2" s="1"/>
  <c r="Q576" i="2" s="1"/>
  <c r="Q577" i="2" s="1"/>
  <c r="Q578" i="2" s="1"/>
  <c r="Q579" i="2" s="1"/>
  <c r="Q580" i="2" s="1"/>
  <c r="Q581" i="2" s="1"/>
  <c r="Q582" i="2" s="1"/>
  <c r="Q583" i="2" s="1"/>
  <c r="Q584" i="2" s="1"/>
  <c r="Q585" i="2" s="1"/>
  <c r="Q586" i="2" s="1"/>
  <c r="Q587" i="2" s="1"/>
  <c r="Q588" i="2" s="1"/>
  <c r="Q589" i="2" s="1"/>
  <c r="Q590" i="2" s="1"/>
  <c r="Q591" i="2" s="1"/>
  <c r="Q592" i="2" s="1"/>
  <c r="Q593" i="2" s="1"/>
  <c r="I17" i="31"/>
  <c r="F37" i="54"/>
  <c r="V2" i="24"/>
  <c r="B45" i="282" l="1"/>
  <c r="B37" i="282"/>
  <c r="B36" i="282"/>
  <c r="B45" i="297"/>
  <c r="B37" i="297"/>
  <c r="B36" i="297"/>
  <c r="B45" i="298"/>
  <c r="B37" i="298"/>
  <c r="B36" i="298"/>
  <c r="B45" i="299"/>
  <c r="B37" i="299"/>
  <c r="B36" i="299"/>
  <c r="B16" i="317"/>
  <c r="B16" i="277"/>
  <c r="B16" i="315"/>
  <c r="B16" i="266"/>
  <c r="B16" i="313"/>
  <c r="B16" i="254"/>
  <c r="B16" i="311"/>
  <c r="B16" i="242"/>
  <c r="B16" i="230"/>
  <c r="B16" i="307"/>
  <c r="B4" i="317"/>
  <c r="B4" i="277"/>
  <c r="B4" i="315"/>
  <c r="B4" i="266"/>
  <c r="B4" i="313"/>
  <c r="B4" i="311"/>
  <c r="B4" i="254"/>
  <c r="B4" i="242"/>
  <c r="B4" i="307"/>
  <c r="B4" i="230"/>
  <c r="B16" i="113"/>
  <c r="B4" i="113"/>
  <c r="B2" i="117"/>
  <c r="B2" i="116"/>
  <c r="B16" i="306"/>
  <c r="B4" i="306"/>
  <c r="B16" i="112"/>
  <c r="G22" i="113"/>
  <c r="B4" i="96"/>
  <c r="B17" i="207"/>
  <c r="B17" i="206"/>
  <c r="B4" i="207"/>
  <c r="B4" i="206"/>
  <c r="B17" i="96"/>
  <c r="F30" i="2"/>
  <c r="F29" i="2"/>
  <c r="B4" i="112"/>
  <c r="C33" i="48"/>
  <c r="F28" i="2"/>
  <c r="F26" i="2"/>
  <c r="H61" i="56" l="1"/>
  <c r="A2" i="380" l="1"/>
  <c r="A3" i="380" s="1"/>
  <c r="B1" i="380"/>
  <c r="A4" i="380" l="1"/>
  <c r="F47" i="2"/>
  <c r="F45" i="2"/>
  <c r="F44" i="2"/>
  <c r="D44" i="2"/>
  <c r="B10" i="57" s="1"/>
  <c r="D43" i="2"/>
  <c r="B9" i="57" s="1"/>
  <c r="F42" i="2"/>
  <c r="B2" i="380"/>
  <c r="B3" i="380"/>
  <c r="A5" i="380" l="1"/>
  <c r="B2" i="373"/>
  <c r="B2" i="372"/>
  <c r="B2" i="371"/>
  <c r="B2" i="370"/>
  <c r="B2" i="368"/>
  <c r="B4" i="380"/>
  <c r="A6" i="380" l="1"/>
  <c r="H44" i="9"/>
  <c r="H30" i="9"/>
  <c r="H20" i="9"/>
  <c r="B5" i="380"/>
  <c r="A7" i="380" l="1"/>
  <c r="H21" i="24"/>
  <c r="B6" i="380"/>
  <c r="A8" i="380" l="1"/>
  <c r="B7" i="380"/>
  <c r="A9" i="380" l="1"/>
  <c r="K24" i="379"/>
  <c r="J24" i="379"/>
  <c r="I24" i="379"/>
  <c r="H24" i="379"/>
  <c r="G24" i="379"/>
  <c r="L23" i="379"/>
  <c r="L22" i="379"/>
  <c r="L21" i="379"/>
  <c r="L20" i="379"/>
  <c r="L19" i="379"/>
  <c r="L18" i="379"/>
  <c r="L17" i="379"/>
  <c r="L16" i="379"/>
  <c r="L15" i="379"/>
  <c r="L14" i="379"/>
  <c r="L13" i="379"/>
  <c r="L12" i="379"/>
  <c r="L11" i="379"/>
  <c r="L10" i="379"/>
  <c r="K24" i="378"/>
  <c r="J24" i="378"/>
  <c r="I24" i="378"/>
  <c r="H24" i="378"/>
  <c r="G24" i="378"/>
  <c r="L23" i="378"/>
  <c r="L22" i="378"/>
  <c r="L21" i="378"/>
  <c r="L20" i="378"/>
  <c r="L19" i="378"/>
  <c r="L18" i="378"/>
  <c r="L17" i="378"/>
  <c r="L16" i="378"/>
  <c r="L15" i="378"/>
  <c r="L14" i="378"/>
  <c r="L13" i="378"/>
  <c r="L12" i="378"/>
  <c r="L11" i="378"/>
  <c r="L10" i="378"/>
  <c r="K24" i="377"/>
  <c r="J24" i="377"/>
  <c r="I24" i="377"/>
  <c r="H24" i="377"/>
  <c r="G24" i="377"/>
  <c r="L23" i="377"/>
  <c r="L22" i="377"/>
  <c r="L21" i="377"/>
  <c r="L20" i="377"/>
  <c r="L19" i="377"/>
  <c r="L18" i="377"/>
  <c r="L17" i="377"/>
  <c r="L16" i="377"/>
  <c r="L15" i="377"/>
  <c r="L14" i="377"/>
  <c r="L13" i="377"/>
  <c r="L12" i="377"/>
  <c r="L11" i="377"/>
  <c r="L10" i="377"/>
  <c r="K24" i="376"/>
  <c r="J24" i="376"/>
  <c r="I24" i="376"/>
  <c r="H24" i="376"/>
  <c r="G24" i="376"/>
  <c r="L23" i="376"/>
  <c r="L22" i="376"/>
  <c r="L21" i="376"/>
  <c r="L20" i="376"/>
  <c r="L19" i="376"/>
  <c r="L18" i="376"/>
  <c r="L17" i="376"/>
  <c r="L16" i="376"/>
  <c r="L15" i="376"/>
  <c r="L14" i="376"/>
  <c r="L13" i="376"/>
  <c r="L12" i="376"/>
  <c r="L11" i="376"/>
  <c r="L10" i="376"/>
  <c r="K24" i="375"/>
  <c r="J24" i="375"/>
  <c r="I24" i="375"/>
  <c r="H24" i="375"/>
  <c r="G24" i="375"/>
  <c r="L23" i="375"/>
  <c r="L22" i="375"/>
  <c r="L21" i="375"/>
  <c r="L20" i="375"/>
  <c r="L19" i="375"/>
  <c r="L18" i="375"/>
  <c r="L17" i="375"/>
  <c r="L16" i="375"/>
  <c r="L15" i="375"/>
  <c r="L14" i="375"/>
  <c r="L13" i="375"/>
  <c r="L12" i="375"/>
  <c r="L11" i="375"/>
  <c r="L10" i="375"/>
  <c r="B8" i="380"/>
  <c r="A10" i="380" l="1"/>
  <c r="L24" i="379"/>
  <c r="L35" i="379" s="1"/>
  <c r="L24" i="377"/>
  <c r="L35" i="377" s="1"/>
  <c r="L24" i="378"/>
  <c r="L35" i="378" s="1"/>
  <c r="L24" i="376"/>
  <c r="L35" i="376" s="1"/>
  <c r="L24" i="375"/>
  <c r="L35" i="375" s="1"/>
  <c r="K24" i="374"/>
  <c r="J24" i="374"/>
  <c r="I24" i="374"/>
  <c r="H24" i="374"/>
  <c r="G24" i="374"/>
  <c r="L23" i="374"/>
  <c r="L22" i="374"/>
  <c r="L21" i="374"/>
  <c r="L20" i="374"/>
  <c r="L19" i="374"/>
  <c r="L18" i="374"/>
  <c r="L17" i="374"/>
  <c r="L16" i="374"/>
  <c r="L15" i="374"/>
  <c r="L14" i="374"/>
  <c r="L13" i="374"/>
  <c r="L12" i="374"/>
  <c r="L11" i="374"/>
  <c r="L10" i="374"/>
  <c r="H25" i="1"/>
  <c r="L18" i="41"/>
  <c r="L19" i="41"/>
  <c r="L20" i="41"/>
  <c r="J19" i="271"/>
  <c r="J18" i="271"/>
  <c r="J19" i="260"/>
  <c r="J18" i="260"/>
  <c r="J19" i="248"/>
  <c r="J18" i="248"/>
  <c r="J19" i="236"/>
  <c r="J18" i="236"/>
  <c r="J19" i="224"/>
  <c r="J18" i="224"/>
  <c r="L22" i="40"/>
  <c r="L19" i="40"/>
  <c r="L20" i="40"/>
  <c r="L21" i="40"/>
  <c r="L23" i="40"/>
  <c r="B9" i="380"/>
  <c r="A11" i="380" l="1"/>
  <c r="L24" i="374"/>
  <c r="L35" i="374" s="1"/>
  <c r="B10" i="380"/>
  <c r="A12" i="380" l="1"/>
  <c r="C28" i="121"/>
  <c r="C19" i="121"/>
  <c r="B11" i="380"/>
  <c r="A13" i="380" l="1"/>
  <c r="B12" i="380"/>
  <c r="A14" i="380" l="1"/>
  <c r="B13" i="380"/>
  <c r="A15" i="380" l="1"/>
  <c r="B2" i="369"/>
  <c r="J18" i="373"/>
  <c r="J18" i="278" s="1"/>
  <c r="G18" i="373"/>
  <c r="G18" i="278" s="1"/>
  <c r="E18" i="373"/>
  <c r="E18" i="278" s="1"/>
  <c r="K10" i="373"/>
  <c r="K9" i="373"/>
  <c r="J18" i="372"/>
  <c r="J18" i="267" s="1"/>
  <c r="G18" i="372"/>
  <c r="G18" i="267" s="1"/>
  <c r="E18" i="372"/>
  <c r="E18" i="267" s="1"/>
  <c r="K10" i="372"/>
  <c r="K9" i="372"/>
  <c r="J18" i="371"/>
  <c r="J18" i="255" s="1"/>
  <c r="G18" i="371"/>
  <c r="G18" i="255" s="1"/>
  <c r="E18" i="371"/>
  <c r="E18" i="255" s="1"/>
  <c r="K10" i="371"/>
  <c r="K9" i="371"/>
  <c r="J18" i="370"/>
  <c r="J18" i="243" s="1"/>
  <c r="G18" i="370"/>
  <c r="G18" i="243" s="1"/>
  <c r="E18" i="370"/>
  <c r="E18" i="243" s="1"/>
  <c r="K10" i="370"/>
  <c r="K9" i="370"/>
  <c r="J18" i="369"/>
  <c r="J18" i="231" s="1"/>
  <c r="G18" i="369"/>
  <c r="G18" i="231" s="1"/>
  <c r="E18" i="369"/>
  <c r="E18" i="231" s="1"/>
  <c r="K10" i="369"/>
  <c r="K9" i="369"/>
  <c r="J18" i="368"/>
  <c r="J18" i="114" s="1"/>
  <c r="G18" i="368"/>
  <c r="G18" i="114" s="1"/>
  <c r="E18" i="368"/>
  <c r="E18" i="114" s="1"/>
  <c r="B14" i="380"/>
  <c r="A16" i="380" l="1"/>
  <c r="K18" i="372"/>
  <c r="K18" i="267" s="1"/>
  <c r="K18" i="373"/>
  <c r="K18" i="278" s="1"/>
  <c r="K18" i="371"/>
  <c r="K18" i="255" s="1"/>
  <c r="K18" i="370"/>
  <c r="K18" i="243" s="1"/>
  <c r="K18" i="369"/>
  <c r="K18" i="231" s="1"/>
  <c r="K18" i="368"/>
  <c r="K18" i="114" s="1"/>
  <c r="B15" i="380"/>
  <c r="A17" i="380" l="1"/>
  <c r="D30" i="2"/>
  <c r="K50" i="272"/>
  <c r="K50" i="261"/>
  <c r="K50" i="249"/>
  <c r="K50" i="237"/>
  <c r="K50" i="225"/>
  <c r="K50" i="108"/>
  <c r="B16" i="380"/>
  <c r="I26" i="267" l="1"/>
  <c r="I26" i="231"/>
  <c r="I26" i="278"/>
  <c r="I26" i="243"/>
  <c r="B31" i="112"/>
  <c r="I26" i="255"/>
  <c r="I26" i="114"/>
  <c r="A18" i="380"/>
  <c r="B17" i="380"/>
  <c r="B31" i="253" l="1"/>
  <c r="B31" i="241"/>
  <c r="B31" i="229"/>
  <c r="B31" i="113"/>
  <c r="B31" i="276"/>
  <c r="B31" i="265"/>
  <c r="A19" i="380"/>
  <c r="G40" i="367"/>
  <c r="B18" i="380"/>
  <c r="B31" i="315" l="1"/>
  <c r="B31" i="242"/>
  <c r="B31" i="313"/>
  <c r="B31" i="311"/>
  <c r="B31" i="306"/>
  <c r="B31" i="277"/>
  <c r="B31" i="230"/>
  <c r="B31" i="307" s="1"/>
  <c r="B31" i="266"/>
  <c r="B31" i="317"/>
  <c r="B31" i="254"/>
  <c r="A20" i="380"/>
  <c r="H41" i="367"/>
  <c r="B19" i="380"/>
  <c r="A21" i="380" l="1"/>
  <c r="K9" i="39"/>
  <c r="K8" i="39"/>
  <c r="F55" i="57"/>
  <c r="H56" i="57"/>
  <c r="B20" i="380"/>
  <c r="A22" i="380" l="1"/>
  <c r="L23" i="111"/>
  <c r="J23" i="111"/>
  <c r="H23" i="111"/>
  <c r="L23" i="228"/>
  <c r="J23" i="228"/>
  <c r="H23" i="228"/>
  <c r="L23" i="240"/>
  <c r="J23" i="240"/>
  <c r="H23" i="240"/>
  <c r="L23" i="252"/>
  <c r="J23" i="252"/>
  <c r="H23" i="252"/>
  <c r="L23" i="264"/>
  <c r="J23" i="264"/>
  <c r="H23" i="264"/>
  <c r="L23" i="275"/>
  <c r="J23" i="275"/>
  <c r="H23" i="275"/>
  <c r="B21" i="380"/>
  <c r="A23" i="380" l="1"/>
  <c r="B6" i="344"/>
  <c r="B3" i="110"/>
  <c r="B5" i="111"/>
  <c r="B28" i="119"/>
  <c r="B2" i="114"/>
  <c r="J44" i="27"/>
  <c r="J40" i="27"/>
  <c r="B22" i="380"/>
  <c r="A24" i="380" l="1"/>
  <c r="G32" i="29"/>
  <c r="G16" i="20"/>
  <c r="I30" i="12"/>
  <c r="I29" i="12"/>
  <c r="I28" i="12"/>
  <c r="B23" i="380"/>
  <c r="A25" i="380" l="1"/>
  <c r="H22" i="1"/>
  <c r="I12" i="201"/>
  <c r="I11" i="201"/>
  <c r="I12" i="202"/>
  <c r="I11" i="202"/>
  <c r="I12" i="203"/>
  <c r="I11" i="203"/>
  <c r="I12" i="200"/>
  <c r="I11" i="200"/>
  <c r="H45" i="8"/>
  <c r="N18" i="37"/>
  <c r="B24" i="380"/>
  <c r="A26" i="380" l="1"/>
  <c r="I29" i="31"/>
  <c r="H28" i="31"/>
  <c r="G38" i="21"/>
  <c r="H24" i="1" s="1"/>
  <c r="G17" i="21"/>
  <c r="B25" i="380"/>
  <c r="A27" i="380" l="1"/>
  <c r="L59" i="48"/>
  <c r="H23" i="1"/>
  <c r="H33" i="268"/>
  <c r="H33" i="256"/>
  <c r="H33" i="244"/>
  <c r="H33" i="232"/>
  <c r="H33" i="220"/>
  <c r="H33" i="103"/>
  <c r="I24" i="118"/>
  <c r="I24" i="300"/>
  <c r="I24" i="299"/>
  <c r="I24" i="298"/>
  <c r="I24" i="297"/>
  <c r="I24" i="282"/>
  <c r="B26" i="380"/>
  <c r="A28" i="380" l="1"/>
  <c r="B6" i="268"/>
  <c r="B6" i="256"/>
  <c r="B6" i="244"/>
  <c r="I28" i="265"/>
  <c r="I42" i="283"/>
  <c r="I42" i="304"/>
  <c r="I42" i="303"/>
  <c r="I42" i="302"/>
  <c r="I42" i="301"/>
  <c r="I42" i="119"/>
  <c r="I43" i="119" s="1"/>
  <c r="I41" i="118"/>
  <c r="I41" i="282"/>
  <c r="I41" i="297"/>
  <c r="I41" i="298"/>
  <c r="I41" i="299"/>
  <c r="I41" i="300"/>
  <c r="I22" i="278"/>
  <c r="I22" i="267"/>
  <c r="I22" i="255"/>
  <c r="I22" i="243"/>
  <c r="B27" i="277"/>
  <c r="B27" i="317"/>
  <c r="B27" i="266"/>
  <c r="B27" i="315"/>
  <c r="B27" i="254"/>
  <c r="B27" i="313"/>
  <c r="B27" i="242"/>
  <c r="B27" i="311"/>
  <c r="B27" i="276"/>
  <c r="B27" i="265"/>
  <c r="B27" i="253"/>
  <c r="B27" i="241"/>
  <c r="B16" i="276"/>
  <c r="B16" i="265"/>
  <c r="B16" i="253"/>
  <c r="B16" i="241"/>
  <c r="B4" i="276"/>
  <c r="B4" i="265"/>
  <c r="B4" i="253"/>
  <c r="B4" i="241"/>
  <c r="B33" i="274"/>
  <c r="B33" i="263"/>
  <c r="B33" i="251"/>
  <c r="B33" i="239"/>
  <c r="B3" i="274"/>
  <c r="B3" i="263"/>
  <c r="B3" i="251"/>
  <c r="B3" i="239"/>
  <c r="B3" i="227"/>
  <c r="B33" i="273"/>
  <c r="B33" i="262"/>
  <c r="B33" i="250"/>
  <c r="B33" i="238"/>
  <c r="B17" i="273"/>
  <c r="B17" i="262"/>
  <c r="B17" i="250"/>
  <c r="B17" i="238"/>
  <c r="B5" i="272"/>
  <c r="B5" i="261"/>
  <c r="B5" i="249"/>
  <c r="B5" i="237"/>
  <c r="B27" i="380"/>
  <c r="A29" i="380" l="1"/>
  <c r="B28" i="283"/>
  <c r="B3" i="282"/>
  <c r="B30" i="282"/>
  <c r="B30" i="297"/>
  <c r="B3" i="297"/>
  <c r="B28" i="304"/>
  <c r="B3" i="283"/>
  <c r="B3" i="304"/>
  <c r="B3" i="303"/>
  <c r="B3" i="302"/>
  <c r="B28" i="302"/>
  <c r="B28" i="303"/>
  <c r="B30" i="298"/>
  <c r="B3" i="298"/>
  <c r="B3" i="299"/>
  <c r="B30" i="299"/>
  <c r="B2" i="343"/>
  <c r="B2" i="342"/>
  <c r="B2" i="341"/>
  <c r="B2" i="340"/>
  <c r="B2" i="281"/>
  <c r="B2" i="339"/>
  <c r="B2" i="338"/>
  <c r="B2" i="337"/>
  <c r="B2" i="336"/>
  <c r="B2" i="296"/>
  <c r="B2" i="335"/>
  <c r="B2" i="333"/>
  <c r="B2" i="332"/>
  <c r="B2" i="331"/>
  <c r="B2" i="295"/>
  <c r="B2" i="330"/>
  <c r="B2" i="329"/>
  <c r="B2" i="328"/>
  <c r="B2" i="327"/>
  <c r="B2" i="294"/>
  <c r="B2" i="280"/>
  <c r="B2" i="289"/>
  <c r="B2" i="290"/>
  <c r="B2" i="291"/>
  <c r="B2" i="292"/>
  <c r="B2" i="279"/>
  <c r="B2" i="286"/>
  <c r="B2" i="285"/>
  <c r="B2" i="284"/>
  <c r="B2" i="243"/>
  <c r="B2" i="255"/>
  <c r="B2" i="267"/>
  <c r="B2" i="278"/>
  <c r="B5" i="275"/>
  <c r="B5" i="264"/>
  <c r="B5" i="252"/>
  <c r="B5" i="240"/>
  <c r="B2" i="270"/>
  <c r="B2" i="259"/>
  <c r="B2" i="247"/>
  <c r="B2" i="235"/>
  <c r="B6" i="232"/>
  <c r="B28" i="301"/>
  <c r="B3" i="301"/>
  <c r="B30" i="300"/>
  <c r="B3" i="300"/>
  <c r="B2" i="326"/>
  <c r="B2" i="325"/>
  <c r="B2" i="324"/>
  <c r="B2" i="323"/>
  <c r="B28" i="380"/>
  <c r="A30" i="380" l="1"/>
  <c r="B2" i="293"/>
  <c r="B2" i="287"/>
  <c r="I22" i="231"/>
  <c r="B2" i="231"/>
  <c r="B27" i="229"/>
  <c r="B16" i="229"/>
  <c r="B4" i="229"/>
  <c r="H40" i="364"/>
  <c r="G43" i="365"/>
  <c r="B6" i="364"/>
  <c r="B6" i="363"/>
  <c r="H40" i="362"/>
  <c r="B6" i="362"/>
  <c r="B6" i="361"/>
  <c r="B6" i="358"/>
  <c r="B6" i="359"/>
  <c r="B6" i="360"/>
  <c r="H40" i="360"/>
  <c r="H40" i="358"/>
  <c r="B6" i="357"/>
  <c r="B6" i="356"/>
  <c r="B6" i="355"/>
  <c r="H40" i="356"/>
  <c r="C26" i="364"/>
  <c r="G44" i="363"/>
  <c r="G12" i="364" s="1"/>
  <c r="G44" i="364" s="1"/>
  <c r="H16" i="363"/>
  <c r="H44" i="363" s="1"/>
  <c r="H12" i="364" s="1"/>
  <c r="C26" i="362"/>
  <c r="G44" i="361"/>
  <c r="G12" i="362" s="1"/>
  <c r="G44" i="362" s="1"/>
  <c r="H16" i="361"/>
  <c r="H44" i="361" s="1"/>
  <c r="H12" i="362" s="1"/>
  <c r="C26" i="360"/>
  <c r="G44" i="359"/>
  <c r="G12" i="360" s="1"/>
  <c r="G44" i="360" s="1"/>
  <c r="H16" i="359"/>
  <c r="H44" i="359" s="1"/>
  <c r="H12" i="360" s="1"/>
  <c r="C26" i="358"/>
  <c r="G44" i="357"/>
  <c r="G12" i="358" s="1"/>
  <c r="G44" i="358" s="1"/>
  <c r="H16" i="357"/>
  <c r="H44" i="357" s="1"/>
  <c r="H12" i="358" s="1"/>
  <c r="C26" i="356"/>
  <c r="G44" i="355"/>
  <c r="G12" i="356" s="1"/>
  <c r="G44" i="356" s="1"/>
  <c r="H16" i="355"/>
  <c r="H44" i="355" s="1"/>
  <c r="H12" i="356" s="1"/>
  <c r="B29" i="380"/>
  <c r="A31" i="380" l="1"/>
  <c r="G11" i="113"/>
  <c r="C26" i="344"/>
  <c r="B30" i="380"/>
  <c r="A32" i="380" l="1"/>
  <c r="H40" i="344"/>
  <c r="H42" i="344"/>
  <c r="B27" i="230"/>
  <c r="B27" i="307"/>
  <c r="B27" i="112"/>
  <c r="B5" i="228"/>
  <c r="B33" i="227"/>
  <c r="B33" i="110"/>
  <c r="B33" i="226"/>
  <c r="B33" i="109"/>
  <c r="B17" i="226"/>
  <c r="B17" i="109"/>
  <c r="B5" i="225"/>
  <c r="B5" i="108"/>
  <c r="B2" i="223"/>
  <c r="B2" i="106"/>
  <c r="B6" i="103"/>
  <c r="B6" i="220"/>
  <c r="B6" i="104"/>
  <c r="B3" i="119"/>
  <c r="B30" i="118"/>
  <c r="B3" i="118"/>
  <c r="B2" i="322"/>
  <c r="B2" i="321"/>
  <c r="B2" i="320"/>
  <c r="B2" i="319"/>
  <c r="B2" i="115"/>
  <c r="I22" i="114"/>
  <c r="B27" i="306"/>
  <c r="B27" i="113"/>
  <c r="B31" i="380"/>
  <c r="A33" i="380" l="1"/>
  <c r="L35" i="273"/>
  <c r="L7" i="273"/>
  <c r="V10" i="273"/>
  <c r="J39" i="272"/>
  <c r="J25" i="272"/>
  <c r="J24" i="272"/>
  <c r="L35" i="262"/>
  <c r="L7" i="262"/>
  <c r="V10" i="262"/>
  <c r="J39" i="261"/>
  <c r="J25" i="261"/>
  <c r="J24" i="261"/>
  <c r="L35" i="250"/>
  <c r="L7" i="250"/>
  <c r="V10" i="250"/>
  <c r="J39" i="249"/>
  <c r="J25" i="249"/>
  <c r="J24" i="249"/>
  <c r="L7" i="238"/>
  <c r="L35" i="238"/>
  <c r="V10" i="238"/>
  <c r="J39" i="237"/>
  <c r="J25" i="237"/>
  <c r="J24" i="237"/>
  <c r="L35" i="226"/>
  <c r="L7" i="226"/>
  <c r="V10" i="226"/>
  <c r="J39" i="225"/>
  <c r="J25" i="225"/>
  <c r="J24" i="225"/>
  <c r="K26" i="199"/>
  <c r="K25" i="199"/>
  <c r="K24" i="199"/>
  <c r="K23" i="199"/>
  <c r="K22" i="199"/>
  <c r="K21" i="199"/>
  <c r="K20" i="199"/>
  <c r="K19" i="199"/>
  <c r="K18" i="199"/>
  <c r="K17" i="199"/>
  <c r="K16" i="199"/>
  <c r="K15" i="199"/>
  <c r="K14" i="199"/>
  <c r="K13" i="199"/>
  <c r="K12" i="199"/>
  <c r="K11" i="199"/>
  <c r="K10" i="199"/>
  <c r="K9" i="199"/>
  <c r="K26" i="198"/>
  <c r="K25" i="198"/>
  <c r="K24" i="198"/>
  <c r="K23" i="198"/>
  <c r="K22" i="198"/>
  <c r="K21" i="198"/>
  <c r="K20" i="198"/>
  <c r="K19" i="198"/>
  <c r="K18" i="198"/>
  <c r="K17" i="198"/>
  <c r="K16" i="198"/>
  <c r="K15" i="198"/>
  <c r="K14" i="198"/>
  <c r="K13" i="198"/>
  <c r="K12" i="198"/>
  <c r="K11" i="198"/>
  <c r="K10" i="198"/>
  <c r="K9" i="198"/>
  <c r="K26" i="197"/>
  <c r="K25" i="197"/>
  <c r="K24" i="197"/>
  <c r="K23" i="197"/>
  <c r="K22" i="197"/>
  <c r="K21" i="197"/>
  <c r="K20" i="197"/>
  <c r="K19" i="197"/>
  <c r="K18" i="197"/>
  <c r="K17" i="197"/>
  <c r="K16" i="197"/>
  <c r="K15" i="197"/>
  <c r="K14" i="197"/>
  <c r="K13" i="197"/>
  <c r="K12" i="197"/>
  <c r="K11" i="197"/>
  <c r="K10" i="197"/>
  <c r="K9" i="197"/>
  <c r="L26" i="196"/>
  <c r="L25" i="196"/>
  <c r="L24" i="196"/>
  <c r="L23" i="196"/>
  <c r="L22" i="196"/>
  <c r="L21" i="196"/>
  <c r="L20" i="196"/>
  <c r="L19" i="196"/>
  <c r="L18" i="196"/>
  <c r="L17" i="196"/>
  <c r="L16" i="196"/>
  <c r="L15" i="196"/>
  <c r="L14" i="196"/>
  <c r="L13" i="196"/>
  <c r="L12" i="196"/>
  <c r="L11" i="196"/>
  <c r="L10" i="196"/>
  <c r="L9" i="196"/>
  <c r="L26" i="195"/>
  <c r="L25" i="195"/>
  <c r="L24" i="195"/>
  <c r="L23" i="195"/>
  <c r="L22" i="195"/>
  <c r="L21" i="195"/>
  <c r="L20" i="195"/>
  <c r="L19" i="195"/>
  <c r="L18" i="195"/>
  <c r="L17" i="195"/>
  <c r="L16" i="195"/>
  <c r="L15" i="195"/>
  <c r="L14" i="195"/>
  <c r="L13" i="195"/>
  <c r="L12" i="195"/>
  <c r="L11" i="195"/>
  <c r="L10" i="195"/>
  <c r="L9" i="195"/>
  <c r="L26" i="194"/>
  <c r="L25" i="194"/>
  <c r="L24" i="194"/>
  <c r="L23" i="194"/>
  <c r="L22" i="194"/>
  <c r="L21" i="194"/>
  <c r="L20" i="194"/>
  <c r="L19" i="194"/>
  <c r="L18" i="194"/>
  <c r="L17" i="194"/>
  <c r="L16" i="194"/>
  <c r="L15" i="194"/>
  <c r="L14" i="194"/>
  <c r="L13" i="194"/>
  <c r="L12" i="194"/>
  <c r="L11" i="194"/>
  <c r="L10" i="194"/>
  <c r="L9" i="194"/>
  <c r="L26" i="193"/>
  <c r="L25" i="193"/>
  <c r="L24" i="193"/>
  <c r="L23" i="193"/>
  <c r="L22" i="193"/>
  <c r="L21" i="193"/>
  <c r="L20" i="193"/>
  <c r="L19" i="193"/>
  <c r="L18" i="193"/>
  <c r="L17" i="193"/>
  <c r="L16" i="193"/>
  <c r="L15" i="193"/>
  <c r="L14" i="193"/>
  <c r="L13" i="193"/>
  <c r="L12" i="193"/>
  <c r="L11" i="193"/>
  <c r="L10" i="193"/>
  <c r="L9" i="193"/>
  <c r="L26" i="192"/>
  <c r="L25" i="192"/>
  <c r="L24" i="192"/>
  <c r="L23" i="192"/>
  <c r="L22" i="192"/>
  <c r="L21" i="192"/>
  <c r="L20" i="192"/>
  <c r="L19" i="192"/>
  <c r="L18" i="192"/>
  <c r="L17" i="192"/>
  <c r="L16" i="192"/>
  <c r="L15" i="192"/>
  <c r="L14" i="192"/>
  <c r="L13" i="192"/>
  <c r="L12" i="192"/>
  <c r="L11" i="192"/>
  <c r="L10" i="192"/>
  <c r="L9" i="192"/>
  <c r="L26" i="191"/>
  <c r="L25" i="191"/>
  <c r="L24" i="191"/>
  <c r="L23" i="191"/>
  <c r="L22" i="191"/>
  <c r="L21" i="191"/>
  <c r="L20" i="191"/>
  <c r="L19" i="191"/>
  <c r="L18" i="191"/>
  <c r="L17" i="191"/>
  <c r="L16" i="191"/>
  <c r="L15" i="191"/>
  <c r="L14" i="191"/>
  <c r="L13" i="191"/>
  <c r="L12" i="191"/>
  <c r="L11" i="191"/>
  <c r="L10" i="191"/>
  <c r="L9" i="191"/>
  <c r="L26" i="190"/>
  <c r="L25" i="190"/>
  <c r="L24" i="190"/>
  <c r="L23" i="190"/>
  <c r="L22" i="190"/>
  <c r="L21" i="190"/>
  <c r="L20" i="190"/>
  <c r="L19" i="190"/>
  <c r="L18" i="190"/>
  <c r="L17" i="190"/>
  <c r="L16" i="190"/>
  <c r="L15" i="190"/>
  <c r="L14" i="190"/>
  <c r="L13" i="190"/>
  <c r="L12" i="190"/>
  <c r="L11" i="190"/>
  <c r="L10" i="190"/>
  <c r="L9" i="190"/>
  <c r="L26" i="189"/>
  <c r="L25" i="189"/>
  <c r="L24" i="189"/>
  <c r="L23" i="189"/>
  <c r="L22" i="189"/>
  <c r="L21" i="189"/>
  <c r="L20" i="189"/>
  <c r="L19" i="189"/>
  <c r="L18" i="189"/>
  <c r="L17" i="189"/>
  <c r="L16" i="189"/>
  <c r="L15" i="189"/>
  <c r="L14" i="189"/>
  <c r="L13" i="189"/>
  <c r="L12" i="189"/>
  <c r="L11" i="189"/>
  <c r="L10" i="189"/>
  <c r="L9" i="189"/>
  <c r="L26" i="188"/>
  <c r="L25" i="188"/>
  <c r="L24" i="188"/>
  <c r="L23" i="188"/>
  <c r="L22" i="188"/>
  <c r="L21" i="188"/>
  <c r="L20" i="188"/>
  <c r="L19" i="188"/>
  <c r="L18" i="188"/>
  <c r="L17" i="188"/>
  <c r="L16" i="188"/>
  <c r="L15" i="188"/>
  <c r="L14" i="188"/>
  <c r="L13" i="188"/>
  <c r="L12" i="188"/>
  <c r="L11" i="188"/>
  <c r="L10" i="188"/>
  <c r="L9" i="188"/>
  <c r="L26" i="187"/>
  <c r="L25" i="187"/>
  <c r="L24" i="187"/>
  <c r="L23" i="187"/>
  <c r="L22" i="187"/>
  <c r="L21" i="187"/>
  <c r="L20" i="187"/>
  <c r="L19" i="187"/>
  <c r="L18" i="187"/>
  <c r="L17" i="187"/>
  <c r="L16" i="187"/>
  <c r="L15" i="187"/>
  <c r="L14" i="187"/>
  <c r="L13" i="187"/>
  <c r="L12" i="187"/>
  <c r="L11" i="187"/>
  <c r="L10" i="187"/>
  <c r="L9" i="187"/>
  <c r="L26" i="186"/>
  <c r="L25" i="186"/>
  <c r="L24" i="186"/>
  <c r="L23" i="186"/>
  <c r="L22" i="186"/>
  <c r="L21" i="186"/>
  <c r="L20" i="186"/>
  <c r="L19" i="186"/>
  <c r="L18" i="186"/>
  <c r="L17" i="186"/>
  <c r="L16" i="186"/>
  <c r="L15" i="186"/>
  <c r="L14" i="186"/>
  <c r="L13" i="186"/>
  <c r="L12" i="186"/>
  <c r="L11" i="186"/>
  <c r="L10" i="186"/>
  <c r="L9" i="186"/>
  <c r="L26" i="185"/>
  <c r="L25" i="185"/>
  <c r="L24" i="185"/>
  <c r="L23" i="185"/>
  <c r="L22" i="185"/>
  <c r="L21" i="185"/>
  <c r="L20" i="185"/>
  <c r="L19" i="185"/>
  <c r="L18" i="185"/>
  <c r="L17" i="185"/>
  <c r="L16" i="185"/>
  <c r="L15" i="185"/>
  <c r="L14" i="185"/>
  <c r="L13" i="185"/>
  <c r="L12" i="185"/>
  <c r="L11" i="185"/>
  <c r="L10" i="185"/>
  <c r="L9" i="185"/>
  <c r="L26" i="184"/>
  <c r="L25" i="184"/>
  <c r="L24" i="184"/>
  <c r="L23" i="184"/>
  <c r="L22" i="184"/>
  <c r="L21" i="184"/>
  <c r="L20" i="184"/>
  <c r="L19" i="184"/>
  <c r="L18" i="184"/>
  <c r="L17" i="184"/>
  <c r="L16" i="184"/>
  <c r="L15" i="184"/>
  <c r="L14" i="184"/>
  <c r="L13" i="184"/>
  <c r="L12" i="184"/>
  <c r="L11" i="184"/>
  <c r="L10" i="184"/>
  <c r="L9" i="184"/>
  <c r="L26" i="183"/>
  <c r="L25" i="183"/>
  <c r="L24" i="183"/>
  <c r="L23" i="183"/>
  <c r="L22" i="183"/>
  <c r="L21" i="183"/>
  <c r="L20" i="183"/>
  <c r="L19" i="183"/>
  <c r="L18" i="183"/>
  <c r="L17" i="183"/>
  <c r="L16" i="183"/>
  <c r="L15" i="183"/>
  <c r="L14" i="183"/>
  <c r="L13" i="183"/>
  <c r="L12" i="183"/>
  <c r="L11" i="183"/>
  <c r="L10" i="183"/>
  <c r="L9" i="183"/>
  <c r="L26" i="182"/>
  <c r="L25" i="182"/>
  <c r="L24" i="182"/>
  <c r="L23" i="182"/>
  <c r="L22" i="182"/>
  <c r="L21" i="182"/>
  <c r="L20" i="182"/>
  <c r="L19" i="182"/>
  <c r="L18" i="182"/>
  <c r="L17" i="182"/>
  <c r="L16" i="182"/>
  <c r="L15" i="182"/>
  <c r="L14" i="182"/>
  <c r="L13" i="182"/>
  <c r="L12" i="182"/>
  <c r="L11" i="182"/>
  <c r="L10" i="182"/>
  <c r="L9" i="182"/>
  <c r="L26" i="181"/>
  <c r="L25" i="181"/>
  <c r="L24" i="181"/>
  <c r="L23" i="181"/>
  <c r="L22" i="181"/>
  <c r="L21" i="181"/>
  <c r="L20" i="181"/>
  <c r="L19" i="181"/>
  <c r="L18" i="181"/>
  <c r="L17" i="181"/>
  <c r="L16" i="181"/>
  <c r="L15" i="181"/>
  <c r="L14" i="181"/>
  <c r="L13" i="181"/>
  <c r="L12" i="181"/>
  <c r="L11" i="181"/>
  <c r="L10" i="181"/>
  <c r="L9" i="181"/>
  <c r="L26" i="180"/>
  <c r="L25" i="180"/>
  <c r="L24" i="180"/>
  <c r="L23" i="180"/>
  <c r="L22" i="180"/>
  <c r="L21" i="180"/>
  <c r="L20" i="180"/>
  <c r="L19" i="180"/>
  <c r="L18" i="180"/>
  <c r="L17" i="180"/>
  <c r="L16" i="180"/>
  <c r="L15" i="180"/>
  <c r="L14" i="180"/>
  <c r="L13" i="180"/>
  <c r="L12" i="180"/>
  <c r="L11" i="180"/>
  <c r="L10" i="180"/>
  <c r="L9" i="180"/>
  <c r="L26" i="179"/>
  <c r="L25" i="179"/>
  <c r="L24" i="179"/>
  <c r="L23" i="179"/>
  <c r="L22" i="179"/>
  <c r="L21" i="179"/>
  <c r="L20" i="179"/>
  <c r="L19" i="179"/>
  <c r="L18" i="179"/>
  <c r="L17" i="179"/>
  <c r="L16" i="179"/>
  <c r="L15" i="179"/>
  <c r="L14" i="179"/>
  <c r="L13" i="179"/>
  <c r="L12" i="179"/>
  <c r="L11" i="179"/>
  <c r="L10" i="179"/>
  <c r="L9" i="179"/>
  <c r="L26" i="178"/>
  <c r="L25" i="178"/>
  <c r="L24" i="178"/>
  <c r="L23" i="178"/>
  <c r="L22" i="178"/>
  <c r="L21" i="178"/>
  <c r="L20" i="178"/>
  <c r="L19" i="178"/>
  <c r="L18" i="178"/>
  <c r="L17" i="178"/>
  <c r="L16" i="178"/>
  <c r="L15" i="178"/>
  <c r="L14" i="178"/>
  <c r="L13" i="178"/>
  <c r="L12" i="178"/>
  <c r="L11" i="178"/>
  <c r="L10" i="178"/>
  <c r="L9" i="178"/>
  <c r="L26" i="177"/>
  <c r="L25" i="177"/>
  <c r="L24" i="177"/>
  <c r="L23" i="177"/>
  <c r="L22" i="177"/>
  <c r="L21" i="177"/>
  <c r="L20" i="177"/>
  <c r="L19" i="177"/>
  <c r="L18" i="177"/>
  <c r="L17" i="177"/>
  <c r="L16" i="177"/>
  <c r="L15" i="177"/>
  <c r="L14" i="177"/>
  <c r="L13" i="177"/>
  <c r="L12" i="177"/>
  <c r="L11" i="177"/>
  <c r="L10" i="177"/>
  <c r="L9" i="177"/>
  <c r="L26" i="176"/>
  <c r="L25" i="176"/>
  <c r="L24" i="176"/>
  <c r="L23" i="176"/>
  <c r="L22" i="176"/>
  <c r="L21" i="176"/>
  <c r="L20" i="176"/>
  <c r="L19" i="176"/>
  <c r="L18" i="176"/>
  <c r="L17" i="176"/>
  <c r="L16" i="176"/>
  <c r="L15" i="176"/>
  <c r="L14" i="176"/>
  <c r="L13" i="176"/>
  <c r="L12" i="176"/>
  <c r="L11" i="176"/>
  <c r="L10" i="176"/>
  <c r="L9" i="176"/>
  <c r="L26" i="175"/>
  <c r="L25" i="175"/>
  <c r="L24" i="175"/>
  <c r="L23" i="175"/>
  <c r="L22" i="175"/>
  <c r="L21" i="175"/>
  <c r="L20" i="175"/>
  <c r="L19" i="175"/>
  <c r="L18" i="175"/>
  <c r="L17" i="175"/>
  <c r="L16" i="175"/>
  <c r="L15" i="175"/>
  <c r="L14" i="175"/>
  <c r="L13" i="175"/>
  <c r="L12" i="175"/>
  <c r="L11" i="175"/>
  <c r="L10" i="175"/>
  <c r="L9" i="175"/>
  <c r="L26" i="174"/>
  <c r="L25" i="174"/>
  <c r="L24" i="174"/>
  <c r="L23" i="174"/>
  <c r="L22" i="174"/>
  <c r="L21" i="174"/>
  <c r="L20" i="174"/>
  <c r="L19" i="174"/>
  <c r="L18" i="174"/>
  <c r="L17" i="174"/>
  <c r="L16" i="174"/>
  <c r="L15" i="174"/>
  <c r="L14" i="174"/>
  <c r="L13" i="174"/>
  <c r="L12" i="174"/>
  <c r="L11" i="174"/>
  <c r="L10" i="174"/>
  <c r="L9" i="174"/>
  <c r="L26" i="173"/>
  <c r="L25" i="173"/>
  <c r="L24" i="173"/>
  <c r="L23" i="173"/>
  <c r="L22" i="173"/>
  <c r="L21" i="173"/>
  <c r="L20" i="173"/>
  <c r="L19" i="173"/>
  <c r="L18" i="173"/>
  <c r="L17" i="173"/>
  <c r="L16" i="173"/>
  <c r="L15" i="173"/>
  <c r="L14" i="173"/>
  <c r="L13" i="173"/>
  <c r="L12" i="173"/>
  <c r="L11" i="173"/>
  <c r="L10" i="173"/>
  <c r="L9" i="173"/>
  <c r="L26" i="172"/>
  <c r="L25" i="172"/>
  <c r="L24" i="172"/>
  <c r="L23" i="172"/>
  <c r="L22" i="172"/>
  <c r="L21" i="172"/>
  <c r="L20" i="172"/>
  <c r="L19" i="172"/>
  <c r="L18" i="172"/>
  <c r="L17" i="172"/>
  <c r="L16" i="172"/>
  <c r="L15" i="172"/>
  <c r="L14" i="172"/>
  <c r="L13" i="172"/>
  <c r="L12" i="172"/>
  <c r="L11" i="172"/>
  <c r="L10" i="172"/>
  <c r="L9" i="172"/>
  <c r="L26" i="171"/>
  <c r="L25" i="171"/>
  <c r="L24" i="171"/>
  <c r="L23" i="171"/>
  <c r="L22" i="171"/>
  <c r="L21" i="171"/>
  <c r="L20" i="171"/>
  <c r="L19" i="171"/>
  <c r="L18" i="171"/>
  <c r="L17" i="171"/>
  <c r="L16" i="171"/>
  <c r="L15" i="171"/>
  <c r="L14" i="171"/>
  <c r="L13" i="171"/>
  <c r="L12" i="171"/>
  <c r="L11" i="171"/>
  <c r="L10" i="171"/>
  <c r="L9" i="171"/>
  <c r="L26" i="170"/>
  <c r="L25" i="170"/>
  <c r="L24" i="170"/>
  <c r="L23" i="170"/>
  <c r="L22" i="170"/>
  <c r="L21" i="170"/>
  <c r="L20" i="170"/>
  <c r="L19" i="170"/>
  <c r="L18" i="170"/>
  <c r="L17" i="170"/>
  <c r="L16" i="170"/>
  <c r="L15" i="170"/>
  <c r="L14" i="170"/>
  <c r="L13" i="170"/>
  <c r="L12" i="170"/>
  <c r="L11" i="170"/>
  <c r="L10" i="170"/>
  <c r="L9" i="170"/>
  <c r="L26" i="169"/>
  <c r="L25" i="169"/>
  <c r="L24" i="169"/>
  <c r="L23" i="169"/>
  <c r="L22" i="169"/>
  <c r="L21" i="169"/>
  <c r="L20" i="169"/>
  <c r="L19" i="169"/>
  <c r="L18" i="169"/>
  <c r="L17" i="169"/>
  <c r="L16" i="169"/>
  <c r="L15" i="169"/>
  <c r="L14" i="169"/>
  <c r="L13" i="169"/>
  <c r="L12" i="169"/>
  <c r="L11" i="169"/>
  <c r="L10" i="169"/>
  <c r="L9" i="169"/>
  <c r="L26" i="168"/>
  <c r="L25" i="168"/>
  <c r="L24" i="168"/>
  <c r="L23" i="168"/>
  <c r="L22" i="168"/>
  <c r="L21" i="168"/>
  <c r="L20" i="168"/>
  <c r="L19" i="168"/>
  <c r="L18" i="168"/>
  <c r="L17" i="168"/>
  <c r="L16" i="168"/>
  <c r="L15" i="168"/>
  <c r="L14" i="168"/>
  <c r="L13" i="168"/>
  <c r="L12" i="168"/>
  <c r="L11" i="168"/>
  <c r="L10" i="168"/>
  <c r="L9" i="168"/>
  <c r="L26" i="167"/>
  <c r="L25" i="167"/>
  <c r="L24" i="167"/>
  <c r="L23" i="167"/>
  <c r="L22" i="167"/>
  <c r="L21" i="167"/>
  <c r="L20" i="167"/>
  <c r="L19" i="167"/>
  <c r="L18" i="167"/>
  <c r="L17" i="167"/>
  <c r="L16" i="167"/>
  <c r="L15" i="167"/>
  <c r="L14" i="167"/>
  <c r="L13" i="167"/>
  <c r="L12" i="167"/>
  <c r="L11" i="167"/>
  <c r="L10" i="167"/>
  <c r="L9" i="167"/>
  <c r="L26" i="166"/>
  <c r="L25" i="166"/>
  <c r="L24" i="166"/>
  <c r="L23" i="166"/>
  <c r="L22" i="166"/>
  <c r="L21" i="166"/>
  <c r="L20" i="166"/>
  <c r="L19" i="166"/>
  <c r="L18" i="166"/>
  <c r="L17" i="166"/>
  <c r="L16" i="166"/>
  <c r="L15" i="166"/>
  <c r="L14" i="166"/>
  <c r="L13" i="166"/>
  <c r="L12" i="166"/>
  <c r="L11" i="166"/>
  <c r="L10" i="166"/>
  <c r="L9" i="166"/>
  <c r="L26" i="165"/>
  <c r="L25" i="165"/>
  <c r="L24" i="165"/>
  <c r="L23" i="165"/>
  <c r="L22" i="165"/>
  <c r="L21" i="165"/>
  <c r="L20" i="165"/>
  <c r="L19" i="165"/>
  <c r="L18" i="165"/>
  <c r="L17" i="165"/>
  <c r="L16" i="165"/>
  <c r="L15" i="165"/>
  <c r="L14" i="165"/>
  <c r="L13" i="165"/>
  <c r="L12" i="165"/>
  <c r="L11" i="165"/>
  <c r="L10" i="165"/>
  <c r="L9" i="165"/>
  <c r="L26" i="164"/>
  <c r="L25" i="164"/>
  <c r="L24" i="164"/>
  <c r="L23" i="164"/>
  <c r="L22" i="164"/>
  <c r="L21" i="164"/>
  <c r="L20" i="164"/>
  <c r="L19" i="164"/>
  <c r="L18" i="164"/>
  <c r="L17" i="164"/>
  <c r="L16" i="164"/>
  <c r="L15" i="164"/>
  <c r="L14" i="164"/>
  <c r="L13" i="164"/>
  <c r="L12" i="164"/>
  <c r="L11" i="164"/>
  <c r="L10" i="164"/>
  <c r="L9" i="164"/>
  <c r="L26" i="163"/>
  <c r="L25" i="163"/>
  <c r="L24" i="163"/>
  <c r="L23" i="163"/>
  <c r="L22" i="163"/>
  <c r="L21" i="163"/>
  <c r="L20" i="163"/>
  <c r="L19" i="163"/>
  <c r="L18" i="163"/>
  <c r="L17" i="163"/>
  <c r="L16" i="163"/>
  <c r="L15" i="163"/>
  <c r="L14" i="163"/>
  <c r="L13" i="163"/>
  <c r="L12" i="163"/>
  <c r="L11" i="163"/>
  <c r="L10" i="163"/>
  <c r="L9" i="163"/>
  <c r="L26" i="162"/>
  <c r="L25" i="162"/>
  <c r="L24" i="162"/>
  <c r="L23" i="162"/>
  <c r="L22" i="162"/>
  <c r="L21" i="162"/>
  <c r="L20" i="162"/>
  <c r="L19" i="162"/>
  <c r="L18" i="162"/>
  <c r="L17" i="162"/>
  <c r="L16" i="162"/>
  <c r="L15" i="162"/>
  <c r="L14" i="162"/>
  <c r="L13" i="162"/>
  <c r="L12" i="162"/>
  <c r="L11" i="162"/>
  <c r="L10" i="162"/>
  <c r="L9" i="162"/>
  <c r="L26" i="161"/>
  <c r="L25" i="161"/>
  <c r="L24" i="161"/>
  <c r="L23" i="161"/>
  <c r="L22" i="161"/>
  <c r="L21" i="161"/>
  <c r="L20" i="161"/>
  <c r="L19" i="161"/>
  <c r="L18" i="161"/>
  <c r="L17" i="161"/>
  <c r="L16" i="161"/>
  <c r="L15" i="161"/>
  <c r="L14" i="161"/>
  <c r="L13" i="161"/>
  <c r="L12" i="161"/>
  <c r="L11" i="161"/>
  <c r="L10" i="161"/>
  <c r="L9" i="161"/>
  <c r="L26" i="160"/>
  <c r="L25" i="160"/>
  <c r="L24" i="160"/>
  <c r="L23" i="160"/>
  <c r="L22" i="160"/>
  <c r="L21" i="160"/>
  <c r="L20" i="160"/>
  <c r="L19" i="160"/>
  <c r="L18" i="160"/>
  <c r="L17" i="160"/>
  <c r="L16" i="160"/>
  <c r="L15" i="160"/>
  <c r="L14" i="160"/>
  <c r="L13" i="160"/>
  <c r="L12" i="160"/>
  <c r="L11" i="160"/>
  <c r="L10" i="160"/>
  <c r="L9" i="160"/>
  <c r="L26" i="159"/>
  <c r="L25" i="159"/>
  <c r="L24" i="159"/>
  <c r="L23" i="159"/>
  <c r="L22" i="159"/>
  <c r="L21" i="159"/>
  <c r="L20" i="159"/>
  <c r="L19" i="159"/>
  <c r="L18" i="159"/>
  <c r="L17" i="159"/>
  <c r="L16" i="159"/>
  <c r="L15" i="159"/>
  <c r="L14" i="159"/>
  <c r="L13" i="159"/>
  <c r="L12" i="159"/>
  <c r="L11" i="159"/>
  <c r="L10" i="159"/>
  <c r="L9" i="159"/>
  <c r="L26" i="158"/>
  <c r="L25" i="158"/>
  <c r="L24" i="158"/>
  <c r="L23" i="158"/>
  <c r="L22" i="158"/>
  <c r="L21" i="158"/>
  <c r="L20" i="158"/>
  <c r="L19" i="158"/>
  <c r="L18" i="158"/>
  <c r="L17" i="158"/>
  <c r="L16" i="158"/>
  <c r="L15" i="158"/>
  <c r="L14" i="158"/>
  <c r="L13" i="158"/>
  <c r="L12" i="158"/>
  <c r="L11" i="158"/>
  <c r="L10" i="158"/>
  <c r="L9" i="158"/>
  <c r="L26" i="157"/>
  <c r="L25" i="157"/>
  <c r="L24" i="157"/>
  <c r="L23" i="157"/>
  <c r="L22" i="157"/>
  <c r="L21" i="157"/>
  <c r="L20" i="157"/>
  <c r="L19" i="157"/>
  <c r="L18" i="157"/>
  <c r="L17" i="157"/>
  <c r="L16" i="157"/>
  <c r="L15" i="157"/>
  <c r="L14" i="157"/>
  <c r="L13" i="157"/>
  <c r="L12" i="157"/>
  <c r="L11" i="157"/>
  <c r="L10" i="157"/>
  <c r="L9" i="157"/>
  <c r="K26" i="156"/>
  <c r="K25" i="156"/>
  <c r="K24" i="156"/>
  <c r="K23" i="156"/>
  <c r="K22" i="156"/>
  <c r="K21" i="156"/>
  <c r="K20" i="156"/>
  <c r="K19" i="156"/>
  <c r="K18" i="156"/>
  <c r="K17" i="156"/>
  <c r="K16" i="156"/>
  <c r="K15" i="156"/>
  <c r="K14" i="156"/>
  <c r="K13" i="156"/>
  <c r="K12" i="156"/>
  <c r="K11" i="156"/>
  <c r="K10" i="156"/>
  <c r="K9" i="156"/>
  <c r="K26" i="155"/>
  <c r="K25" i="155"/>
  <c r="K24" i="155"/>
  <c r="K23" i="155"/>
  <c r="K22" i="155"/>
  <c r="K21" i="155"/>
  <c r="K20" i="155"/>
  <c r="K19" i="155"/>
  <c r="K18" i="155"/>
  <c r="K17" i="155"/>
  <c r="K16" i="155"/>
  <c r="K15" i="155"/>
  <c r="K14" i="155"/>
  <c r="K13" i="155"/>
  <c r="K12" i="155"/>
  <c r="K11" i="155"/>
  <c r="K10" i="155"/>
  <c r="K9" i="155"/>
  <c r="K26" i="154"/>
  <c r="K25" i="154"/>
  <c r="K24" i="154"/>
  <c r="K23" i="154"/>
  <c r="K22" i="154"/>
  <c r="K21" i="154"/>
  <c r="K20" i="154"/>
  <c r="K19" i="154"/>
  <c r="K18" i="154"/>
  <c r="K17" i="154"/>
  <c r="K16" i="154"/>
  <c r="K15" i="154"/>
  <c r="K14" i="154"/>
  <c r="K13" i="154"/>
  <c r="K12" i="154"/>
  <c r="K11" i="154"/>
  <c r="K10" i="154"/>
  <c r="K9" i="154"/>
  <c r="K26" i="153"/>
  <c r="K25" i="153"/>
  <c r="K24" i="153"/>
  <c r="K23" i="153"/>
  <c r="K22" i="153"/>
  <c r="K21" i="153"/>
  <c r="K20" i="153"/>
  <c r="K19" i="153"/>
  <c r="K18" i="153"/>
  <c r="K17" i="153"/>
  <c r="K16" i="153"/>
  <c r="K15" i="153"/>
  <c r="K14" i="153"/>
  <c r="K13" i="153"/>
  <c r="K12" i="153"/>
  <c r="K11" i="153"/>
  <c r="K10" i="153"/>
  <c r="K9" i="153"/>
  <c r="K26" i="152"/>
  <c r="K25" i="152"/>
  <c r="K24" i="152"/>
  <c r="K23" i="152"/>
  <c r="K22" i="152"/>
  <c r="K21" i="152"/>
  <c r="K20" i="152"/>
  <c r="K19" i="152"/>
  <c r="K18" i="152"/>
  <c r="K17" i="152"/>
  <c r="K16" i="152"/>
  <c r="K15" i="152"/>
  <c r="K14" i="152"/>
  <c r="K13" i="152"/>
  <c r="K12" i="152"/>
  <c r="K11" i="152"/>
  <c r="K10" i="152"/>
  <c r="K9" i="152"/>
  <c r="K26" i="151"/>
  <c r="K25" i="151"/>
  <c r="K24" i="151"/>
  <c r="K23" i="151"/>
  <c r="K22" i="151"/>
  <c r="K21" i="151"/>
  <c r="K20" i="151"/>
  <c r="K19" i="151"/>
  <c r="K18" i="151"/>
  <c r="K17" i="151"/>
  <c r="K16" i="151"/>
  <c r="K15" i="151"/>
  <c r="K14" i="151"/>
  <c r="K13" i="151"/>
  <c r="K12" i="151"/>
  <c r="K11" i="151"/>
  <c r="K10" i="151"/>
  <c r="K9" i="151"/>
  <c r="K26" i="150"/>
  <c r="K25" i="150"/>
  <c r="K24" i="150"/>
  <c r="K23" i="150"/>
  <c r="K22" i="150"/>
  <c r="K21" i="150"/>
  <c r="K20" i="150"/>
  <c r="K19" i="150"/>
  <c r="K18" i="150"/>
  <c r="K17" i="150"/>
  <c r="K16" i="150"/>
  <c r="K15" i="150"/>
  <c r="K14" i="150"/>
  <c r="K13" i="150"/>
  <c r="K12" i="150"/>
  <c r="K11" i="150"/>
  <c r="K10" i="150"/>
  <c r="K9" i="150"/>
  <c r="K26" i="149"/>
  <c r="K25" i="149"/>
  <c r="K24" i="149"/>
  <c r="K23" i="149"/>
  <c r="K22" i="149"/>
  <c r="K21" i="149"/>
  <c r="K20" i="149"/>
  <c r="K19" i="149"/>
  <c r="K18" i="149"/>
  <c r="K17" i="149"/>
  <c r="K16" i="149"/>
  <c r="K15" i="149"/>
  <c r="K14" i="149"/>
  <c r="K13" i="149"/>
  <c r="K12" i="149"/>
  <c r="K11" i="149"/>
  <c r="K10" i="149"/>
  <c r="K9" i="149"/>
  <c r="K26" i="147"/>
  <c r="K25" i="147"/>
  <c r="K24" i="147"/>
  <c r="K23" i="147"/>
  <c r="K22" i="147"/>
  <c r="K21" i="147"/>
  <c r="K20" i="147"/>
  <c r="K19" i="147"/>
  <c r="K18" i="147"/>
  <c r="K17" i="147"/>
  <c r="K16" i="147"/>
  <c r="K15" i="147"/>
  <c r="K14" i="147"/>
  <c r="K13" i="147"/>
  <c r="K12" i="147"/>
  <c r="K11" i="147"/>
  <c r="K10" i="147"/>
  <c r="K9" i="147"/>
  <c r="K26" i="148"/>
  <c r="K25" i="148"/>
  <c r="K24" i="148"/>
  <c r="K23" i="148"/>
  <c r="K22" i="148"/>
  <c r="K21" i="148"/>
  <c r="K20" i="148"/>
  <c r="K19" i="148"/>
  <c r="K18" i="148"/>
  <c r="K17" i="148"/>
  <c r="K16" i="148"/>
  <c r="K15" i="148"/>
  <c r="K14" i="148"/>
  <c r="K13" i="148"/>
  <c r="K12" i="148"/>
  <c r="K11" i="148"/>
  <c r="K10" i="148"/>
  <c r="K9" i="148"/>
  <c r="K26" i="146"/>
  <c r="K25" i="146"/>
  <c r="K24" i="146"/>
  <c r="K23" i="146"/>
  <c r="K22" i="146"/>
  <c r="K21" i="146"/>
  <c r="K20" i="146"/>
  <c r="K19" i="146"/>
  <c r="K18" i="146"/>
  <c r="K17" i="146"/>
  <c r="K16" i="146"/>
  <c r="K15" i="146"/>
  <c r="K14" i="146"/>
  <c r="K13" i="146"/>
  <c r="K12" i="146"/>
  <c r="K11" i="146"/>
  <c r="K10" i="146"/>
  <c r="K9" i="146"/>
  <c r="K26" i="145"/>
  <c r="K25" i="145"/>
  <c r="K24" i="145"/>
  <c r="K23" i="145"/>
  <c r="K22" i="145"/>
  <c r="K21" i="145"/>
  <c r="K20" i="145"/>
  <c r="K19" i="145"/>
  <c r="K18" i="145"/>
  <c r="K17" i="145"/>
  <c r="K16" i="145"/>
  <c r="K15" i="145"/>
  <c r="K14" i="145"/>
  <c r="K13" i="145"/>
  <c r="K12" i="145"/>
  <c r="K11" i="145"/>
  <c r="K10" i="145"/>
  <c r="K9" i="145"/>
  <c r="K26" i="144"/>
  <c r="K25" i="144"/>
  <c r="K24" i="144"/>
  <c r="K23" i="144"/>
  <c r="K22" i="144"/>
  <c r="K21" i="144"/>
  <c r="K20" i="144"/>
  <c r="K19" i="144"/>
  <c r="K18" i="144"/>
  <c r="K17" i="144"/>
  <c r="K16" i="144"/>
  <c r="K15" i="144"/>
  <c r="K14" i="144"/>
  <c r="K13" i="144"/>
  <c r="K12" i="144"/>
  <c r="K11" i="144"/>
  <c r="K10" i="144"/>
  <c r="K9" i="144"/>
  <c r="K26" i="143"/>
  <c r="K25" i="143"/>
  <c r="K24" i="143"/>
  <c r="K23" i="143"/>
  <c r="K22" i="143"/>
  <c r="K21" i="143"/>
  <c r="K20" i="143"/>
  <c r="K19" i="143"/>
  <c r="K18" i="143"/>
  <c r="K17" i="143"/>
  <c r="K16" i="143"/>
  <c r="K15" i="143"/>
  <c r="K14" i="143"/>
  <c r="K13" i="143"/>
  <c r="K12" i="143"/>
  <c r="K11" i="143"/>
  <c r="K10" i="143"/>
  <c r="K9" i="143"/>
  <c r="K26" i="142"/>
  <c r="K25" i="142"/>
  <c r="K24" i="142"/>
  <c r="K23" i="142"/>
  <c r="K22" i="142"/>
  <c r="K21" i="142"/>
  <c r="K20" i="142"/>
  <c r="K19" i="142"/>
  <c r="K18" i="142"/>
  <c r="K17" i="142"/>
  <c r="K16" i="142"/>
  <c r="K15" i="142"/>
  <c r="K14" i="142"/>
  <c r="K13" i="142"/>
  <c r="K12" i="142"/>
  <c r="K11" i="142"/>
  <c r="K10" i="142"/>
  <c r="K9" i="142"/>
  <c r="K26" i="141"/>
  <c r="K25" i="141"/>
  <c r="K24" i="141"/>
  <c r="K23" i="141"/>
  <c r="K22" i="141"/>
  <c r="K21" i="141"/>
  <c r="K20" i="141"/>
  <c r="K19" i="141"/>
  <c r="K18" i="141"/>
  <c r="K17" i="141"/>
  <c r="K16" i="141"/>
  <c r="K15" i="141"/>
  <c r="K14" i="141"/>
  <c r="K13" i="141"/>
  <c r="K12" i="141"/>
  <c r="K11" i="141"/>
  <c r="K10" i="141"/>
  <c r="K9" i="141"/>
  <c r="K26" i="140"/>
  <c r="K25" i="140"/>
  <c r="K24" i="140"/>
  <c r="K23" i="140"/>
  <c r="K22" i="140"/>
  <c r="K21" i="140"/>
  <c r="K20" i="140"/>
  <c r="K19" i="140"/>
  <c r="K18" i="140"/>
  <c r="K17" i="140"/>
  <c r="K16" i="140"/>
  <c r="K15" i="140"/>
  <c r="K14" i="140"/>
  <c r="K13" i="140"/>
  <c r="K12" i="140"/>
  <c r="K11" i="140"/>
  <c r="K10" i="140"/>
  <c r="K9" i="140"/>
  <c r="K26" i="139"/>
  <c r="K25" i="139"/>
  <c r="K24" i="139"/>
  <c r="K23" i="139"/>
  <c r="K22" i="139"/>
  <c r="K21" i="139"/>
  <c r="K20" i="139"/>
  <c r="K19" i="139"/>
  <c r="K18" i="139"/>
  <c r="K17" i="139"/>
  <c r="K16" i="139"/>
  <c r="K15" i="139"/>
  <c r="K14" i="139"/>
  <c r="K13" i="139"/>
  <c r="K12" i="139"/>
  <c r="K11" i="139"/>
  <c r="K10" i="139"/>
  <c r="K9" i="139"/>
  <c r="K26" i="138"/>
  <c r="K25" i="138"/>
  <c r="K24" i="138"/>
  <c r="K23" i="138"/>
  <c r="K22" i="138"/>
  <c r="K21" i="138"/>
  <c r="K20" i="138"/>
  <c r="K19" i="138"/>
  <c r="K18" i="138"/>
  <c r="K17" i="138"/>
  <c r="K16" i="138"/>
  <c r="K15" i="138"/>
  <c r="K14" i="138"/>
  <c r="K13" i="138"/>
  <c r="K12" i="138"/>
  <c r="K11" i="138"/>
  <c r="K10" i="138"/>
  <c r="K9" i="138"/>
  <c r="K26" i="137"/>
  <c r="K25" i="137"/>
  <c r="K24" i="137"/>
  <c r="K23" i="137"/>
  <c r="K22" i="137"/>
  <c r="K21" i="137"/>
  <c r="K20" i="137"/>
  <c r="K19" i="137"/>
  <c r="K18" i="137"/>
  <c r="K17" i="137"/>
  <c r="K16" i="137"/>
  <c r="K15" i="137"/>
  <c r="K14" i="137"/>
  <c r="K13" i="137"/>
  <c r="K12" i="137"/>
  <c r="K11" i="137"/>
  <c r="K10" i="137"/>
  <c r="K9" i="137"/>
  <c r="K26" i="136"/>
  <c r="K25" i="136"/>
  <c r="K24" i="136"/>
  <c r="K23" i="136"/>
  <c r="K22" i="136"/>
  <c r="K21" i="136"/>
  <c r="K20" i="136"/>
  <c r="K19" i="136"/>
  <c r="K18" i="136"/>
  <c r="K17" i="136"/>
  <c r="K16" i="136"/>
  <c r="K15" i="136"/>
  <c r="K14" i="136"/>
  <c r="K13" i="136"/>
  <c r="K12" i="136"/>
  <c r="K11" i="136"/>
  <c r="K10" i="136"/>
  <c r="K9" i="136"/>
  <c r="K26" i="135"/>
  <c r="K25" i="135"/>
  <c r="K24" i="135"/>
  <c r="K23" i="135"/>
  <c r="K22" i="135"/>
  <c r="K21" i="135"/>
  <c r="K20" i="135"/>
  <c r="K19" i="135"/>
  <c r="K18" i="135"/>
  <c r="K17" i="135"/>
  <c r="K16" i="135"/>
  <c r="K15" i="135"/>
  <c r="K14" i="135"/>
  <c r="K13" i="135"/>
  <c r="K12" i="135"/>
  <c r="K11" i="135"/>
  <c r="K10" i="135"/>
  <c r="K9" i="135"/>
  <c r="K26" i="134"/>
  <c r="K25" i="134"/>
  <c r="K24" i="134"/>
  <c r="K23" i="134"/>
  <c r="K22" i="134"/>
  <c r="K21" i="134"/>
  <c r="K20" i="134"/>
  <c r="K19" i="134"/>
  <c r="K18" i="134"/>
  <c r="K17" i="134"/>
  <c r="K16" i="134"/>
  <c r="K15" i="134"/>
  <c r="K14" i="134"/>
  <c r="K13" i="134"/>
  <c r="K12" i="134"/>
  <c r="K11" i="134"/>
  <c r="K10" i="134"/>
  <c r="K9" i="134"/>
  <c r="K26" i="133"/>
  <c r="K25" i="133"/>
  <c r="K24" i="133"/>
  <c r="K23" i="133"/>
  <c r="K22" i="133"/>
  <c r="K21" i="133"/>
  <c r="K20" i="133"/>
  <c r="K19" i="133"/>
  <c r="K18" i="133"/>
  <c r="K17" i="133"/>
  <c r="K16" i="133"/>
  <c r="K15" i="133"/>
  <c r="K14" i="133"/>
  <c r="K13" i="133"/>
  <c r="K12" i="133"/>
  <c r="K11" i="133"/>
  <c r="K10" i="133"/>
  <c r="K9" i="133"/>
  <c r="K26" i="16"/>
  <c r="K25" i="16"/>
  <c r="K24" i="16"/>
  <c r="K23" i="16"/>
  <c r="K22" i="16"/>
  <c r="K21" i="16"/>
  <c r="K20" i="16"/>
  <c r="K19" i="16"/>
  <c r="K18" i="16"/>
  <c r="K17" i="16"/>
  <c r="K16" i="16"/>
  <c r="K15" i="16"/>
  <c r="K14" i="16"/>
  <c r="K13" i="16"/>
  <c r="K12" i="16"/>
  <c r="K11" i="16"/>
  <c r="K10" i="16"/>
  <c r="K9" i="16"/>
  <c r="B32" i="380"/>
  <c r="A34" i="380" l="1"/>
  <c r="I17" i="58"/>
  <c r="H24" i="41"/>
  <c r="G24" i="41"/>
  <c r="H24" i="40"/>
  <c r="G24" i="40"/>
  <c r="I42" i="39"/>
  <c r="I47" i="39" s="1"/>
  <c r="L40" i="39"/>
  <c r="L30" i="39"/>
  <c r="L20" i="39"/>
  <c r="C21" i="121" s="1"/>
  <c r="I11" i="28"/>
  <c r="J20" i="22"/>
  <c r="H41" i="21"/>
  <c r="H20" i="21"/>
  <c r="K26" i="19"/>
  <c r="K25" i="19"/>
  <c r="K24" i="19"/>
  <c r="K23" i="19"/>
  <c r="K22" i="19"/>
  <c r="K21" i="19"/>
  <c r="K20" i="19"/>
  <c r="K19" i="19"/>
  <c r="K18" i="19"/>
  <c r="K17" i="19"/>
  <c r="K16" i="19"/>
  <c r="K15" i="19"/>
  <c r="K14" i="19"/>
  <c r="K13" i="19"/>
  <c r="K12" i="19"/>
  <c r="K11" i="19"/>
  <c r="K10" i="19"/>
  <c r="K9" i="19"/>
  <c r="K8" i="19"/>
  <c r="L26" i="17"/>
  <c r="L25" i="17"/>
  <c r="L24" i="17"/>
  <c r="L23" i="17"/>
  <c r="L22" i="17"/>
  <c r="L21" i="17"/>
  <c r="L20" i="17"/>
  <c r="L19" i="17"/>
  <c r="L18" i="17"/>
  <c r="L17" i="17"/>
  <c r="L16" i="17"/>
  <c r="L15" i="17"/>
  <c r="L14" i="17"/>
  <c r="L13" i="17"/>
  <c r="L12" i="17"/>
  <c r="L11" i="17"/>
  <c r="L10" i="17"/>
  <c r="L9" i="17"/>
  <c r="L8" i="17"/>
  <c r="K26" i="15"/>
  <c r="K25" i="15"/>
  <c r="K24" i="15"/>
  <c r="K23" i="15"/>
  <c r="K22" i="15"/>
  <c r="K21" i="15"/>
  <c r="K20" i="15"/>
  <c r="K19" i="15"/>
  <c r="K18" i="15"/>
  <c r="K17" i="15"/>
  <c r="K16" i="15"/>
  <c r="K15" i="15"/>
  <c r="K14" i="15"/>
  <c r="K13" i="15"/>
  <c r="K12" i="15"/>
  <c r="K11" i="15"/>
  <c r="K10" i="15"/>
  <c r="K9" i="15"/>
  <c r="K8" i="15"/>
  <c r="B33" i="380"/>
  <c r="A35" i="380" l="1"/>
  <c r="G40" i="6"/>
  <c r="H40" i="6"/>
  <c r="H11" i="1"/>
  <c r="F39" i="57"/>
  <c r="B39" i="57"/>
  <c r="H39" i="57"/>
  <c r="L38" i="57"/>
  <c r="B38" i="57"/>
  <c r="B34" i="380"/>
  <c r="A36" i="380" l="1"/>
  <c r="J36" i="22"/>
  <c r="J39" i="22" s="1"/>
  <c r="B35" i="380"/>
  <c r="A37" i="380" l="1"/>
  <c r="H41" i="317"/>
  <c r="G41" i="317"/>
  <c r="I28" i="317"/>
  <c r="I30" i="317" s="1"/>
  <c r="K32" i="317" s="1"/>
  <c r="H23" i="317"/>
  <c r="G22" i="317"/>
  <c r="G23" i="317" s="1"/>
  <c r="H12" i="317"/>
  <c r="G11" i="317"/>
  <c r="G12" i="317" s="1"/>
  <c r="H41" i="315"/>
  <c r="G41" i="315"/>
  <c r="I28" i="315"/>
  <c r="I30" i="315" s="1"/>
  <c r="K32" i="315" s="1"/>
  <c r="H23" i="315"/>
  <c r="G22" i="315"/>
  <c r="G23" i="315" s="1"/>
  <c r="H12" i="315"/>
  <c r="G11" i="315"/>
  <c r="G12" i="315" s="1"/>
  <c r="H41" i="313"/>
  <c r="G41" i="313"/>
  <c r="I28" i="313"/>
  <c r="I30" i="313" s="1"/>
  <c r="K32" i="313" s="1"/>
  <c r="H23" i="313"/>
  <c r="G22" i="313"/>
  <c r="G23" i="313" s="1"/>
  <c r="H12" i="313"/>
  <c r="G11" i="313"/>
  <c r="G12" i="313" s="1"/>
  <c r="H41" i="311"/>
  <c r="G41" i="311"/>
  <c r="I28" i="311"/>
  <c r="I30" i="311" s="1"/>
  <c r="K32" i="311" s="1"/>
  <c r="H23" i="311"/>
  <c r="G22" i="311"/>
  <c r="G23" i="311" s="1"/>
  <c r="H12" i="311"/>
  <c r="G11" i="311"/>
  <c r="G12" i="311" s="1"/>
  <c r="H41" i="307"/>
  <c r="G41" i="307"/>
  <c r="I28" i="307"/>
  <c r="I30" i="307" s="1"/>
  <c r="K32" i="307" s="1"/>
  <c r="H23" i="307"/>
  <c r="G22" i="307"/>
  <c r="G23" i="307" s="1"/>
  <c r="H12" i="307"/>
  <c r="G11" i="307"/>
  <c r="G12" i="307" s="1"/>
  <c r="H41" i="306"/>
  <c r="G41" i="306"/>
  <c r="I28" i="306"/>
  <c r="I30" i="306" s="1"/>
  <c r="K32" i="306" s="1"/>
  <c r="H23" i="306"/>
  <c r="G22" i="306"/>
  <c r="G23" i="306" s="1"/>
  <c r="H12" i="306"/>
  <c r="G11" i="306"/>
  <c r="G12" i="306" s="1"/>
  <c r="B36" i="380"/>
  <c r="A38" i="380" l="1"/>
  <c r="J19" i="107"/>
  <c r="J18" i="107"/>
  <c r="L12" i="41"/>
  <c r="L13" i="41"/>
  <c r="L14" i="41"/>
  <c r="L15" i="41"/>
  <c r="L16" i="41"/>
  <c r="L17" i="41"/>
  <c r="L21" i="41"/>
  <c r="L22" i="41"/>
  <c r="L23" i="41"/>
  <c r="L11" i="41"/>
  <c r="L10" i="41"/>
  <c r="L12" i="40"/>
  <c r="L13" i="40"/>
  <c r="L14" i="40"/>
  <c r="L15" i="40"/>
  <c r="L16" i="40"/>
  <c r="L17" i="40"/>
  <c r="L18" i="40"/>
  <c r="L11" i="40"/>
  <c r="L10" i="40"/>
  <c r="I17" i="34"/>
  <c r="J12" i="24"/>
  <c r="J13" i="24"/>
  <c r="G9" i="11"/>
  <c r="L23" i="10"/>
  <c r="L24" i="10"/>
  <c r="L25" i="10"/>
  <c r="L22" i="10"/>
  <c r="L16" i="10"/>
  <c r="L17" i="10"/>
  <c r="L18" i="10"/>
  <c r="L19" i="10"/>
  <c r="L20" i="10"/>
  <c r="L15" i="10"/>
  <c r="L10" i="10"/>
  <c r="L11" i="10"/>
  <c r="L12" i="10"/>
  <c r="L13" i="10"/>
  <c r="L9" i="10"/>
  <c r="B37" i="380"/>
  <c r="A39" i="380" l="1"/>
  <c r="I20" i="34"/>
  <c r="H28" i="1"/>
  <c r="L24" i="41"/>
  <c r="H31" i="220"/>
  <c r="H39" i="220" s="1"/>
  <c r="L39" i="226" s="1"/>
  <c r="H31" i="232"/>
  <c r="H31" i="244"/>
  <c r="H31" i="256"/>
  <c r="H31" i="268"/>
  <c r="J43" i="304"/>
  <c r="H42" i="362"/>
  <c r="J22" i="304"/>
  <c r="I22" i="304"/>
  <c r="H22" i="304"/>
  <c r="G22" i="304"/>
  <c r="J43" i="303"/>
  <c r="J22" i="303"/>
  <c r="I22" i="303"/>
  <c r="H22" i="303"/>
  <c r="G22" i="303"/>
  <c r="J43" i="302"/>
  <c r="J22" i="302"/>
  <c r="I22" i="302"/>
  <c r="H22" i="302"/>
  <c r="G22" i="302"/>
  <c r="J43" i="301"/>
  <c r="J22" i="301"/>
  <c r="I22" i="301"/>
  <c r="H22" i="301"/>
  <c r="G22" i="301"/>
  <c r="J42" i="300"/>
  <c r="I42" i="300"/>
  <c r="J25" i="300"/>
  <c r="J42" i="299"/>
  <c r="I42" i="299"/>
  <c r="J25" i="299"/>
  <c r="J42" i="298"/>
  <c r="I42" i="298"/>
  <c r="J25" i="298"/>
  <c r="J42" i="297"/>
  <c r="I42" i="297"/>
  <c r="J25" i="297"/>
  <c r="L27" i="296"/>
  <c r="H23" i="362" s="1"/>
  <c r="K27" i="296"/>
  <c r="H22" i="362" s="1"/>
  <c r="J27" i="296"/>
  <c r="J9" i="336" s="1"/>
  <c r="J27" i="336" s="1"/>
  <c r="J9" i="337" s="1"/>
  <c r="J27" i="337" s="1"/>
  <c r="J9" i="338" s="1"/>
  <c r="J27" i="338" s="1"/>
  <c r="J9" i="339" s="1"/>
  <c r="J27" i="339" s="1"/>
  <c r="I27" i="296"/>
  <c r="I9" i="336" s="1"/>
  <c r="I27" i="336" s="1"/>
  <c r="I9" i="337" s="1"/>
  <c r="I27" i="337" s="1"/>
  <c r="I9" i="338" s="1"/>
  <c r="I27" i="338" s="1"/>
  <c r="I9" i="339" s="1"/>
  <c r="I27" i="339" s="1"/>
  <c r="H27" i="296"/>
  <c r="H9" i="336" s="1"/>
  <c r="H27" i="336" s="1"/>
  <c r="H9" i="337" s="1"/>
  <c r="H27" i="337" s="1"/>
  <c r="H9" i="338" s="1"/>
  <c r="H27" i="338" s="1"/>
  <c r="H9" i="339" s="1"/>
  <c r="H27" i="339" s="1"/>
  <c r="G27" i="296"/>
  <c r="G9" i="336" s="1"/>
  <c r="G27" i="336" s="1"/>
  <c r="G9" i="337" s="1"/>
  <c r="G27" i="337" s="1"/>
  <c r="G9" i="338" s="1"/>
  <c r="G27" i="338" s="1"/>
  <c r="G9" i="339" s="1"/>
  <c r="G27" i="339" s="1"/>
  <c r="F27" i="296"/>
  <c r="F9" i="336" s="1"/>
  <c r="F27" i="336" s="1"/>
  <c r="F9" i="337" s="1"/>
  <c r="F27" i="337" s="1"/>
  <c r="F9" i="338" s="1"/>
  <c r="F27" i="338" s="1"/>
  <c r="F9" i="339" s="1"/>
  <c r="F27" i="339" s="1"/>
  <c r="E27" i="296"/>
  <c r="E9" i="336" s="1"/>
  <c r="E27" i="336" s="1"/>
  <c r="E9" i="337" s="1"/>
  <c r="E27" i="337" s="1"/>
  <c r="E9" i="338" s="1"/>
  <c r="E27" i="338" s="1"/>
  <c r="E9" i="339" s="1"/>
  <c r="E27" i="339" s="1"/>
  <c r="L27" i="295"/>
  <c r="K27" i="295"/>
  <c r="J27" i="295"/>
  <c r="J9" i="331" s="1"/>
  <c r="J27" i="331" s="1"/>
  <c r="J9" i="332" s="1"/>
  <c r="J27" i="332" s="1"/>
  <c r="J9" i="333" s="1"/>
  <c r="J27" i="333" s="1"/>
  <c r="J9" i="335" s="1"/>
  <c r="J27" i="335" s="1"/>
  <c r="I27" i="295"/>
  <c r="I9" i="331" s="1"/>
  <c r="I27" i="331" s="1"/>
  <c r="I9" i="332" s="1"/>
  <c r="I27" i="332" s="1"/>
  <c r="I9" i="333" s="1"/>
  <c r="I27" i="333" s="1"/>
  <c r="I9" i="335" s="1"/>
  <c r="I27" i="335" s="1"/>
  <c r="H27" i="295"/>
  <c r="H9" i="331" s="1"/>
  <c r="H27" i="331" s="1"/>
  <c r="H9" i="332" s="1"/>
  <c r="H27" i="332" s="1"/>
  <c r="H9" i="333" s="1"/>
  <c r="H27" i="333" s="1"/>
  <c r="H9" i="335" s="1"/>
  <c r="H27" i="335" s="1"/>
  <c r="G27" i="295"/>
  <c r="G9" i="331" s="1"/>
  <c r="G27" i="331" s="1"/>
  <c r="G9" i="332" s="1"/>
  <c r="G27" i="332" s="1"/>
  <c r="G9" i="333" s="1"/>
  <c r="G27" i="333" s="1"/>
  <c r="G9" i="335" s="1"/>
  <c r="G27" i="335" s="1"/>
  <c r="F27" i="295"/>
  <c r="F9" i="331" s="1"/>
  <c r="F27" i="331" s="1"/>
  <c r="F9" i="332" s="1"/>
  <c r="F27" i="332" s="1"/>
  <c r="F9" i="333" s="1"/>
  <c r="F27" i="333" s="1"/>
  <c r="F9" i="335" s="1"/>
  <c r="F27" i="335" s="1"/>
  <c r="E27" i="295"/>
  <c r="E9" i="331" s="1"/>
  <c r="E27" i="331" s="1"/>
  <c r="E9" i="332" s="1"/>
  <c r="L27" i="294"/>
  <c r="H23" i="358" s="1"/>
  <c r="K27" i="294"/>
  <c r="H22" i="358" s="1"/>
  <c r="J27" i="294"/>
  <c r="J9" i="327" s="1"/>
  <c r="J27" i="327" s="1"/>
  <c r="J9" i="328" s="1"/>
  <c r="J27" i="328" s="1"/>
  <c r="J9" i="329" s="1"/>
  <c r="J27" i="329" s="1"/>
  <c r="J9" i="330" s="1"/>
  <c r="J27" i="330" s="1"/>
  <c r="I27" i="294"/>
  <c r="I9" i="327" s="1"/>
  <c r="I27" i="327" s="1"/>
  <c r="I9" i="328" s="1"/>
  <c r="I27" i="328" s="1"/>
  <c r="I9" i="329" s="1"/>
  <c r="I27" i="329" s="1"/>
  <c r="I9" i="330" s="1"/>
  <c r="I27" i="330" s="1"/>
  <c r="H27" i="294"/>
  <c r="H9" i="327" s="1"/>
  <c r="H27" i="327" s="1"/>
  <c r="H9" i="328" s="1"/>
  <c r="H27" i="328" s="1"/>
  <c r="H9" i="329" s="1"/>
  <c r="H27" i="329" s="1"/>
  <c r="H9" i="330" s="1"/>
  <c r="H27" i="330" s="1"/>
  <c r="G27" i="294"/>
  <c r="G9" i="327" s="1"/>
  <c r="G27" i="327" s="1"/>
  <c r="G9" i="328" s="1"/>
  <c r="G27" i="328" s="1"/>
  <c r="G9" i="329" s="1"/>
  <c r="G27" i="329" s="1"/>
  <c r="G9" i="330" s="1"/>
  <c r="G27" i="330" s="1"/>
  <c r="F27" i="294"/>
  <c r="F9" i="327" s="1"/>
  <c r="F27" i="327" s="1"/>
  <c r="F9" i="328" s="1"/>
  <c r="F27" i="328" s="1"/>
  <c r="F9" i="329" s="1"/>
  <c r="F27" i="329" s="1"/>
  <c r="F9" i="330" s="1"/>
  <c r="F27" i="330" s="1"/>
  <c r="E27" i="294"/>
  <c r="E9" i="327" s="1"/>
  <c r="E27" i="327" s="1"/>
  <c r="E9" i="328" s="1"/>
  <c r="E27" i="328" s="1"/>
  <c r="E9" i="329" s="1"/>
  <c r="E27" i="329" s="1"/>
  <c r="E9" i="330" s="1"/>
  <c r="E27" i="330" s="1"/>
  <c r="L27" i="293"/>
  <c r="K27" i="293"/>
  <c r="J27" i="293"/>
  <c r="J9" i="323" s="1"/>
  <c r="J27" i="323" s="1"/>
  <c r="J9" i="324" s="1"/>
  <c r="J27" i="324" s="1"/>
  <c r="I27" i="293"/>
  <c r="I9" i="323" s="1"/>
  <c r="I27" i="323" s="1"/>
  <c r="I9" i="324" s="1"/>
  <c r="I27" i="324" s="1"/>
  <c r="H27" i="293"/>
  <c r="H9" i="323" s="1"/>
  <c r="H27" i="323" s="1"/>
  <c r="H9" i="324" s="1"/>
  <c r="H27" i="324" s="1"/>
  <c r="G27" i="293"/>
  <c r="G9" i="323" s="1"/>
  <c r="G27" i="323" s="1"/>
  <c r="G9" i="324" s="1"/>
  <c r="G27" i="324" s="1"/>
  <c r="F27" i="293"/>
  <c r="F9" i="323" s="1"/>
  <c r="F27" i="323" s="1"/>
  <c r="F9" i="324" s="1"/>
  <c r="F27" i="324" s="1"/>
  <c r="E27" i="293"/>
  <c r="E9" i="323" s="1"/>
  <c r="E27" i="323" s="1"/>
  <c r="E9" i="324" s="1"/>
  <c r="E27" i="324" s="1"/>
  <c r="I23" i="292"/>
  <c r="H23" i="292"/>
  <c r="G23" i="292"/>
  <c r="H19" i="356" s="1"/>
  <c r="I23" i="291"/>
  <c r="H23" i="291"/>
  <c r="G23" i="291"/>
  <c r="H19" i="358" s="1"/>
  <c r="I23" i="290"/>
  <c r="H23" i="290"/>
  <c r="G23" i="290"/>
  <c r="H19" i="360" s="1"/>
  <c r="I23" i="289"/>
  <c r="H23" i="289"/>
  <c r="G23" i="289"/>
  <c r="H19" i="362" s="1"/>
  <c r="K23" i="287"/>
  <c r="J23" i="287"/>
  <c r="G23" i="287"/>
  <c r="H38" i="222" s="1"/>
  <c r="E23" i="287"/>
  <c r="K23" i="286"/>
  <c r="J23" i="286"/>
  <c r="G23" i="286"/>
  <c r="H38" i="234" s="1"/>
  <c r="E23" i="286"/>
  <c r="K23" i="285"/>
  <c r="J23" i="285"/>
  <c r="G23" i="285"/>
  <c r="H38" i="246" s="1"/>
  <c r="E23" i="285"/>
  <c r="K23" i="284"/>
  <c r="J23" i="284"/>
  <c r="G23" i="284"/>
  <c r="H38" i="258" s="1"/>
  <c r="E23" i="284"/>
  <c r="J43" i="283"/>
  <c r="J22" i="283"/>
  <c r="I22" i="283"/>
  <c r="H22" i="283"/>
  <c r="G22" i="283"/>
  <c r="J42" i="282"/>
  <c r="I42" i="282"/>
  <c r="J25" i="282"/>
  <c r="L27" i="281"/>
  <c r="H23" i="364" s="1"/>
  <c r="K27" i="281"/>
  <c r="H22" i="364" s="1"/>
  <c r="J27" i="281"/>
  <c r="J9" i="340" s="1"/>
  <c r="J27" i="340" s="1"/>
  <c r="J9" i="341" s="1"/>
  <c r="J27" i="341" s="1"/>
  <c r="J9" i="342" s="1"/>
  <c r="J27" i="342" s="1"/>
  <c r="J9" i="343" s="1"/>
  <c r="J27" i="343" s="1"/>
  <c r="I27" i="281"/>
  <c r="I9" i="340" s="1"/>
  <c r="I27" i="340" s="1"/>
  <c r="I9" i="341" s="1"/>
  <c r="I27" i="341" s="1"/>
  <c r="I9" i="342" s="1"/>
  <c r="I27" i="342" s="1"/>
  <c r="I9" i="343" s="1"/>
  <c r="I27" i="343" s="1"/>
  <c r="H27" i="281"/>
  <c r="H9" i="340" s="1"/>
  <c r="H27" i="340" s="1"/>
  <c r="H9" i="341" s="1"/>
  <c r="H27" i="341" s="1"/>
  <c r="H9" i="342" s="1"/>
  <c r="H27" i="342" s="1"/>
  <c r="H9" i="343" s="1"/>
  <c r="H27" i="343" s="1"/>
  <c r="G27" i="281"/>
  <c r="G9" i="340" s="1"/>
  <c r="G27" i="340" s="1"/>
  <c r="G9" i="341" s="1"/>
  <c r="G27" i="341" s="1"/>
  <c r="G9" i="342" s="1"/>
  <c r="G27" i="342" s="1"/>
  <c r="G9" i="343" s="1"/>
  <c r="G27" i="343" s="1"/>
  <c r="F27" i="281"/>
  <c r="F9" i="340" s="1"/>
  <c r="F27" i="340" s="1"/>
  <c r="F9" i="341" s="1"/>
  <c r="F27" i="341" s="1"/>
  <c r="F9" i="342" s="1"/>
  <c r="F27" i="342" s="1"/>
  <c r="F9" i="343" s="1"/>
  <c r="F27" i="343" s="1"/>
  <c r="E27" i="281"/>
  <c r="E9" i="340" s="1"/>
  <c r="E27" i="340" s="1"/>
  <c r="E9" i="341" s="1"/>
  <c r="E27" i="341" s="1"/>
  <c r="E9" i="342" s="1"/>
  <c r="E27" i="342" s="1"/>
  <c r="E9" i="343" s="1"/>
  <c r="E27" i="343" s="1"/>
  <c r="I23" i="280"/>
  <c r="H23" i="280"/>
  <c r="G23" i="280"/>
  <c r="H19" i="364" s="1"/>
  <c r="K23" i="279"/>
  <c r="J23" i="279"/>
  <c r="G23" i="279"/>
  <c r="H38" i="365" s="1"/>
  <c r="E23" i="279"/>
  <c r="B38" i="380"/>
  <c r="A40" i="380" l="1"/>
  <c r="I25" i="282"/>
  <c r="H41" i="364"/>
  <c r="I43" i="283"/>
  <c r="H42" i="364"/>
  <c r="I25" i="297"/>
  <c r="H41" i="362"/>
  <c r="I43" i="303"/>
  <c r="H42" i="360"/>
  <c r="K9" i="331"/>
  <c r="K27" i="331" s="1"/>
  <c r="K9" i="332" s="1"/>
  <c r="K27" i="332" s="1"/>
  <c r="K9" i="333" s="1"/>
  <c r="K27" i="333" s="1"/>
  <c r="H22" i="360"/>
  <c r="I25" i="298"/>
  <c r="H41" i="360"/>
  <c r="L9" i="331"/>
  <c r="L27" i="331" s="1"/>
  <c r="L9" i="332" s="1"/>
  <c r="L27" i="332" s="1"/>
  <c r="L9" i="333" s="1"/>
  <c r="L27" i="333" s="1"/>
  <c r="L9" i="335" s="1"/>
  <c r="L27" i="335" s="1"/>
  <c r="H23" i="360"/>
  <c r="I43" i="302"/>
  <c r="H42" i="358"/>
  <c r="I25" i="299"/>
  <c r="H41" i="358"/>
  <c r="I43" i="301"/>
  <c r="H42" i="356"/>
  <c r="I25" i="300"/>
  <c r="H41" i="356"/>
  <c r="K9" i="340"/>
  <c r="K27" i="340" s="1"/>
  <c r="L9" i="340"/>
  <c r="L27" i="340" s="1"/>
  <c r="L9" i="341" s="1"/>
  <c r="L27" i="341" s="1"/>
  <c r="L9" i="342" s="1"/>
  <c r="L27" i="342" s="1"/>
  <c r="L9" i="343" s="1"/>
  <c r="L27" i="343" s="1"/>
  <c r="K9" i="336"/>
  <c r="K27" i="336" s="1"/>
  <c r="K9" i="337" s="1"/>
  <c r="K27" i="337" s="1"/>
  <c r="K9" i="338" s="1"/>
  <c r="K27" i="338" s="1"/>
  <c r="K9" i="339" s="1"/>
  <c r="K27" i="339" s="1"/>
  <c r="L9" i="336"/>
  <c r="L27" i="336" s="1"/>
  <c r="L9" i="337" s="1"/>
  <c r="L27" i="337" s="1"/>
  <c r="L9" i="338" s="1"/>
  <c r="L27" i="338" s="1"/>
  <c r="L9" i="339" s="1"/>
  <c r="L27" i="339" s="1"/>
  <c r="K9" i="327"/>
  <c r="K27" i="327" s="1"/>
  <c r="K9" i="328" s="1"/>
  <c r="K27" i="328" s="1"/>
  <c r="L9" i="327"/>
  <c r="L27" i="327" s="1"/>
  <c r="L9" i="328" s="1"/>
  <c r="L27" i="328" s="1"/>
  <c r="L9" i="329" s="1"/>
  <c r="L27" i="329" s="1"/>
  <c r="L9" i="330" s="1"/>
  <c r="L27" i="330" s="1"/>
  <c r="E9" i="325"/>
  <c r="E27" i="325" s="1"/>
  <c r="E9" i="326"/>
  <c r="E27" i="326" s="1"/>
  <c r="F9" i="325"/>
  <c r="F27" i="325" s="1"/>
  <c r="F9" i="326"/>
  <c r="F27" i="326" s="1"/>
  <c r="J9" i="325"/>
  <c r="J27" i="325" s="1"/>
  <c r="J9" i="326"/>
  <c r="J27" i="326" s="1"/>
  <c r="I9" i="325"/>
  <c r="I27" i="325" s="1"/>
  <c r="I9" i="326"/>
  <c r="I27" i="326" s="1"/>
  <c r="G9" i="325"/>
  <c r="G27" i="325" s="1"/>
  <c r="G9" i="326"/>
  <c r="G27" i="326" s="1"/>
  <c r="H9" i="325"/>
  <c r="H27" i="325" s="1"/>
  <c r="H9" i="326"/>
  <c r="H27" i="326" s="1"/>
  <c r="K9" i="323"/>
  <c r="K27" i="323" s="1"/>
  <c r="K9" i="324" s="1"/>
  <c r="K27" i="324" s="1"/>
  <c r="L9" i="323"/>
  <c r="L27" i="323" s="1"/>
  <c r="L9" i="324" s="1"/>
  <c r="L27" i="324" s="1"/>
  <c r="I43" i="304"/>
  <c r="L42" i="296"/>
  <c r="L42" i="294"/>
  <c r="L42" i="293"/>
  <c r="L42" i="295"/>
  <c r="L42" i="281"/>
  <c r="B39" i="380"/>
  <c r="A41" i="380" l="1"/>
  <c r="L42" i="332"/>
  <c r="L42" i="331"/>
  <c r="L42" i="340"/>
  <c r="K9" i="341"/>
  <c r="K27" i="341" s="1"/>
  <c r="L42" i="339"/>
  <c r="L42" i="338"/>
  <c r="L42" i="337"/>
  <c r="L42" i="336"/>
  <c r="L42" i="333"/>
  <c r="K9" i="335"/>
  <c r="K27" i="335" s="1"/>
  <c r="L42" i="328"/>
  <c r="K9" i="329"/>
  <c r="K27" i="329" s="1"/>
  <c r="L42" i="327"/>
  <c r="L9" i="325"/>
  <c r="L27" i="325" s="1"/>
  <c r="L9" i="326"/>
  <c r="L27" i="326" s="1"/>
  <c r="H23" i="356" s="1"/>
  <c r="K9" i="325"/>
  <c r="K27" i="325" s="1"/>
  <c r="K9" i="326"/>
  <c r="K27" i="326" s="1"/>
  <c r="H22" i="356" s="1"/>
  <c r="L42" i="324"/>
  <c r="L42" i="323"/>
  <c r="B40" i="380"/>
  <c r="A42" i="380" l="1"/>
  <c r="L42" i="341"/>
  <c r="K9" i="342"/>
  <c r="K27" i="342" s="1"/>
  <c r="L42" i="335"/>
  <c r="L42" i="329"/>
  <c r="K9" i="330"/>
  <c r="K27" i="330" s="1"/>
  <c r="L42" i="325"/>
  <c r="L42" i="326"/>
  <c r="B41" i="380"/>
  <c r="A43" i="380" l="1"/>
  <c r="L42" i="342"/>
  <c r="K9" i="343"/>
  <c r="K27" i="343" s="1"/>
  <c r="L42" i="343" s="1"/>
  <c r="L42" i="330"/>
  <c r="M23" i="278"/>
  <c r="M25" i="278" s="1"/>
  <c r="M27" i="278" s="1"/>
  <c r="H20" i="364"/>
  <c r="H41" i="277"/>
  <c r="G41" i="277"/>
  <c r="I28" i="277"/>
  <c r="I30" i="277" s="1"/>
  <c r="K32" i="277" s="1"/>
  <c r="H23" i="277"/>
  <c r="G22" i="277"/>
  <c r="G23" i="277" s="1"/>
  <c r="H12" i="277"/>
  <c r="G11" i="277"/>
  <c r="H41" i="276"/>
  <c r="G41" i="276"/>
  <c r="I28" i="276"/>
  <c r="I30" i="276" s="1"/>
  <c r="K32" i="276" s="1"/>
  <c r="H23" i="276"/>
  <c r="G22" i="276"/>
  <c r="H17" i="364" s="1"/>
  <c r="H12" i="276"/>
  <c r="G11" i="276"/>
  <c r="N23" i="275"/>
  <c r="N22" i="275"/>
  <c r="N21" i="275"/>
  <c r="L20" i="275"/>
  <c r="J20" i="275"/>
  <c r="H20" i="275"/>
  <c r="N19" i="275"/>
  <c r="N18" i="275"/>
  <c r="N17" i="275"/>
  <c r="N16" i="275"/>
  <c r="N15" i="275"/>
  <c r="N13" i="275"/>
  <c r="L51" i="274"/>
  <c r="L45" i="274"/>
  <c r="L21" i="274"/>
  <c r="L24" i="274" s="1"/>
  <c r="G20" i="268" s="1"/>
  <c r="L44" i="273"/>
  <c r="V13" i="273"/>
  <c r="J39" i="271"/>
  <c r="J32" i="271"/>
  <c r="J34" i="271" s="1"/>
  <c r="J21" i="271"/>
  <c r="H20" i="271"/>
  <c r="H22" i="271" s="1"/>
  <c r="J15" i="271"/>
  <c r="J14" i="271"/>
  <c r="J13" i="271"/>
  <c r="J12" i="271"/>
  <c r="J11" i="271"/>
  <c r="J10" i="271"/>
  <c r="J9" i="271"/>
  <c r="I7" i="271"/>
  <c r="K26" i="270"/>
  <c r="J26" i="270"/>
  <c r="I26" i="270"/>
  <c r="H26" i="270"/>
  <c r="G26" i="270"/>
  <c r="F26" i="270"/>
  <c r="E26" i="270"/>
  <c r="L25" i="270"/>
  <c r="L24" i="270"/>
  <c r="L23" i="270"/>
  <c r="L22" i="270"/>
  <c r="L20" i="270"/>
  <c r="H40" i="365" s="1"/>
  <c r="L19" i="270"/>
  <c r="L18" i="270"/>
  <c r="L17" i="270"/>
  <c r="L16" i="270"/>
  <c r="L15" i="270"/>
  <c r="L13" i="270"/>
  <c r="L12" i="270"/>
  <c r="L11" i="270"/>
  <c r="L10" i="270"/>
  <c r="L9" i="270"/>
  <c r="M23" i="267"/>
  <c r="M25" i="267" s="1"/>
  <c r="M27" i="267" s="1"/>
  <c r="H20" i="362"/>
  <c r="H41" i="266"/>
  <c r="G41" i="266"/>
  <c r="I28" i="266"/>
  <c r="I30" i="266" s="1"/>
  <c r="K32" i="266" s="1"/>
  <c r="H23" i="266"/>
  <c r="G22" i="266"/>
  <c r="G23" i="266" s="1"/>
  <c r="H12" i="266"/>
  <c r="G11" i="266"/>
  <c r="H41" i="265"/>
  <c r="G41" i="265"/>
  <c r="I30" i="265"/>
  <c r="K32" i="265" s="1"/>
  <c r="H23" i="265"/>
  <c r="G22" i="265"/>
  <c r="H17" i="362" s="1"/>
  <c r="H12" i="265"/>
  <c r="G11" i="265"/>
  <c r="N23" i="264"/>
  <c r="N22" i="264"/>
  <c r="N21" i="264"/>
  <c r="L20" i="264"/>
  <c r="J20" i="264"/>
  <c r="H20" i="264"/>
  <c r="N19" i="264"/>
  <c r="N18" i="264"/>
  <c r="N17" i="264"/>
  <c r="N16" i="264"/>
  <c r="N15" i="264"/>
  <c r="N13" i="264"/>
  <c r="L51" i="263"/>
  <c r="L45" i="263"/>
  <c r="L21" i="263"/>
  <c r="L24" i="263" s="1"/>
  <c r="G20" i="256" s="1"/>
  <c r="L44" i="262"/>
  <c r="V13" i="262"/>
  <c r="J39" i="260"/>
  <c r="J32" i="260"/>
  <c r="J34" i="260" s="1"/>
  <c r="J21" i="260"/>
  <c r="H20" i="260"/>
  <c r="H22" i="260" s="1"/>
  <c r="J15" i="260"/>
  <c r="J14" i="260"/>
  <c r="J13" i="260"/>
  <c r="J12" i="260"/>
  <c r="J11" i="260"/>
  <c r="J10" i="260"/>
  <c r="J9" i="260"/>
  <c r="I7" i="260"/>
  <c r="K26" i="259"/>
  <c r="J26" i="259"/>
  <c r="I26" i="259"/>
  <c r="H26" i="259"/>
  <c r="G26" i="259"/>
  <c r="F26" i="259"/>
  <c r="E26" i="259"/>
  <c r="L25" i="259"/>
  <c r="L24" i="259"/>
  <c r="L23" i="259"/>
  <c r="L22" i="259"/>
  <c r="L20" i="259"/>
  <c r="H40" i="258" s="1"/>
  <c r="L19" i="259"/>
  <c r="L18" i="259"/>
  <c r="L17" i="259"/>
  <c r="L16" i="259"/>
  <c r="L15" i="259"/>
  <c r="L13" i="259"/>
  <c r="L12" i="259"/>
  <c r="L11" i="259"/>
  <c r="L10" i="259"/>
  <c r="L9" i="259"/>
  <c r="G43" i="258"/>
  <c r="M23" i="255"/>
  <c r="M25" i="255" s="1"/>
  <c r="M27" i="255" s="1"/>
  <c r="H20" i="360"/>
  <c r="H41" i="254"/>
  <c r="G41" i="254"/>
  <c r="I28" i="254"/>
  <c r="I30" i="254" s="1"/>
  <c r="K32" i="254" s="1"/>
  <c r="H23" i="254"/>
  <c r="G22" i="254"/>
  <c r="G23" i="254" s="1"/>
  <c r="H12" i="254"/>
  <c r="G11" i="254"/>
  <c r="H41" i="253"/>
  <c r="G41" i="253"/>
  <c r="I28" i="253"/>
  <c r="I30" i="253" s="1"/>
  <c r="K32" i="253" s="1"/>
  <c r="H23" i="253"/>
  <c r="G22" i="253"/>
  <c r="H12" i="253"/>
  <c r="G11" i="253"/>
  <c r="N23" i="252"/>
  <c r="N22" i="252"/>
  <c r="N21" i="252"/>
  <c r="L20" i="252"/>
  <c r="J20" i="252"/>
  <c r="H20" i="252"/>
  <c r="N19" i="252"/>
  <c r="N18" i="252"/>
  <c r="N17" i="252"/>
  <c r="N16" i="252"/>
  <c r="N15" i="252"/>
  <c r="N13" i="252"/>
  <c r="L51" i="251"/>
  <c r="L45" i="251"/>
  <c r="L21" i="251"/>
  <c r="L24" i="251" s="1"/>
  <c r="G20" i="244" s="1"/>
  <c r="L44" i="250"/>
  <c r="V13" i="250"/>
  <c r="J39" i="248"/>
  <c r="J32" i="248"/>
  <c r="J34" i="248" s="1"/>
  <c r="J21" i="248"/>
  <c r="H20" i="248"/>
  <c r="H22" i="248" s="1"/>
  <c r="J15" i="248"/>
  <c r="J14" i="248"/>
  <c r="J13" i="248"/>
  <c r="J12" i="248"/>
  <c r="J11" i="248"/>
  <c r="J10" i="248"/>
  <c r="J9" i="248"/>
  <c r="I7" i="248"/>
  <c r="K26" i="247"/>
  <c r="J26" i="247"/>
  <c r="I26" i="247"/>
  <c r="H26" i="247"/>
  <c r="G26" i="247"/>
  <c r="F26" i="247"/>
  <c r="E26" i="247"/>
  <c r="L25" i="247"/>
  <c r="L24" i="247"/>
  <c r="L23" i="247"/>
  <c r="L22" i="247"/>
  <c r="L20" i="247"/>
  <c r="H40" i="246" s="1"/>
  <c r="L19" i="247"/>
  <c r="L18" i="247"/>
  <c r="L17" i="247"/>
  <c r="L16" i="247"/>
  <c r="L15" i="247"/>
  <c r="L13" i="247"/>
  <c r="L12" i="247"/>
  <c r="L11" i="247"/>
  <c r="L10" i="247"/>
  <c r="L9" i="247"/>
  <c r="G43" i="246"/>
  <c r="M23" i="243"/>
  <c r="M25" i="243" s="1"/>
  <c r="M27" i="243" s="1"/>
  <c r="H20" i="358"/>
  <c r="H41" i="242"/>
  <c r="G41" i="242"/>
  <c r="I28" i="242"/>
  <c r="I30" i="242" s="1"/>
  <c r="K32" i="242" s="1"/>
  <c r="H23" i="242"/>
  <c r="G22" i="242"/>
  <c r="G23" i="242" s="1"/>
  <c r="H12" i="242"/>
  <c r="G11" i="242"/>
  <c r="H41" i="241"/>
  <c r="G41" i="241"/>
  <c r="I28" i="241"/>
  <c r="I30" i="241" s="1"/>
  <c r="K32" i="241" s="1"/>
  <c r="H23" i="241"/>
  <c r="G22" i="241"/>
  <c r="H17" i="358" s="1"/>
  <c r="H12" i="241"/>
  <c r="G11" i="241"/>
  <c r="N23" i="240"/>
  <c r="N22" i="240"/>
  <c r="N21" i="240"/>
  <c r="L20" i="240"/>
  <c r="J20" i="240"/>
  <c r="H20" i="240"/>
  <c r="N19" i="240"/>
  <c r="N18" i="240"/>
  <c r="N17" i="240"/>
  <c r="N16" i="240"/>
  <c r="N15" i="240"/>
  <c r="N13" i="240"/>
  <c r="L51" i="239"/>
  <c r="L45" i="239"/>
  <c r="L21" i="239"/>
  <c r="L24" i="239" s="1"/>
  <c r="G20" i="232" s="1"/>
  <c r="L44" i="238"/>
  <c r="V13" i="238"/>
  <c r="J39" i="236"/>
  <c r="J32" i="236"/>
  <c r="J34" i="236" s="1"/>
  <c r="J21" i="236"/>
  <c r="H20" i="236"/>
  <c r="H22" i="236" s="1"/>
  <c r="J15" i="236"/>
  <c r="J14" i="236"/>
  <c r="J13" i="236"/>
  <c r="J12" i="236"/>
  <c r="J11" i="236"/>
  <c r="J10" i="236"/>
  <c r="J9" i="236"/>
  <c r="I7" i="236"/>
  <c r="K26" i="235"/>
  <c r="J26" i="235"/>
  <c r="I26" i="235"/>
  <c r="H26" i="235"/>
  <c r="G26" i="235"/>
  <c r="F26" i="235"/>
  <c r="E26" i="235"/>
  <c r="L25" i="235"/>
  <c r="L24" i="235"/>
  <c r="L23" i="235"/>
  <c r="L22" i="235"/>
  <c r="L20" i="235"/>
  <c r="H40" i="234" s="1"/>
  <c r="L19" i="235"/>
  <c r="L18" i="235"/>
  <c r="L17" i="235"/>
  <c r="L16" i="235"/>
  <c r="L15" i="235"/>
  <c r="L13" i="235"/>
  <c r="L12" i="235"/>
  <c r="L11" i="235"/>
  <c r="L10" i="235"/>
  <c r="L9" i="235"/>
  <c r="G43" i="234"/>
  <c r="M23" i="231"/>
  <c r="M25" i="231" s="1"/>
  <c r="M27" i="231" s="1"/>
  <c r="H20" i="356"/>
  <c r="H41" i="230"/>
  <c r="G41" i="230"/>
  <c r="I28" i="230"/>
  <c r="I30" i="230" s="1"/>
  <c r="K32" i="230" s="1"/>
  <c r="H23" i="230"/>
  <c r="G22" i="230"/>
  <c r="G23" i="230" s="1"/>
  <c r="H12" i="230"/>
  <c r="G11" i="230"/>
  <c r="H41" i="229"/>
  <c r="G41" i="229"/>
  <c r="I28" i="229"/>
  <c r="I30" i="229" s="1"/>
  <c r="K32" i="229" s="1"/>
  <c r="H23" i="229"/>
  <c r="G22" i="229"/>
  <c r="H17" i="356" s="1"/>
  <c r="H12" i="229"/>
  <c r="G11" i="229"/>
  <c r="N23" i="228"/>
  <c r="N22" i="228"/>
  <c r="N21" i="228"/>
  <c r="L20" i="228"/>
  <c r="J20" i="228"/>
  <c r="H20" i="228"/>
  <c r="N19" i="228"/>
  <c r="N18" i="228"/>
  <c r="N17" i="228"/>
  <c r="N16" i="228"/>
  <c r="N15" i="228"/>
  <c r="N13" i="228"/>
  <c r="L51" i="227"/>
  <c r="L45" i="227"/>
  <c r="L21" i="227"/>
  <c r="L24" i="227" s="1"/>
  <c r="G20" i="220" s="1"/>
  <c r="L44" i="226"/>
  <c r="V13" i="226"/>
  <c r="J39" i="224"/>
  <c r="J32" i="224"/>
  <c r="J34" i="224" s="1"/>
  <c r="J21" i="224"/>
  <c r="H20" i="224"/>
  <c r="H22" i="224" s="1"/>
  <c r="J15" i="224"/>
  <c r="J14" i="224"/>
  <c r="J13" i="224"/>
  <c r="J12" i="224"/>
  <c r="J11" i="224"/>
  <c r="J10" i="224"/>
  <c r="J9" i="224"/>
  <c r="I7" i="224"/>
  <c r="K26" i="223"/>
  <c r="J26" i="223"/>
  <c r="I26" i="223"/>
  <c r="H26" i="223"/>
  <c r="G26" i="223"/>
  <c r="F26" i="223"/>
  <c r="E26" i="223"/>
  <c r="L25" i="223"/>
  <c r="L24" i="223"/>
  <c r="L23" i="223"/>
  <c r="L22" i="223"/>
  <c r="L20" i="223"/>
  <c r="H40" i="222" s="1"/>
  <c r="L19" i="223"/>
  <c r="L18" i="223"/>
  <c r="L17" i="223"/>
  <c r="L16" i="223"/>
  <c r="L15" i="223"/>
  <c r="L13" i="223"/>
  <c r="L12" i="223"/>
  <c r="L11" i="223"/>
  <c r="L10" i="223"/>
  <c r="L9" i="223"/>
  <c r="G43" i="222"/>
  <c r="B42" i="380"/>
  <c r="G44" i="268" l="1"/>
  <c r="A44" i="380"/>
  <c r="H18" i="362"/>
  <c r="H18" i="364"/>
  <c r="H18" i="356"/>
  <c r="H18" i="358"/>
  <c r="H18" i="360"/>
  <c r="G12" i="229"/>
  <c r="H39" i="222"/>
  <c r="G12" i="253"/>
  <c r="H39" i="246"/>
  <c r="G12" i="241"/>
  <c r="H39" i="234"/>
  <c r="G12" i="265"/>
  <c r="H39" i="258"/>
  <c r="G12" i="276"/>
  <c r="H39" i="365"/>
  <c r="H43" i="365" s="1"/>
  <c r="G12" i="277"/>
  <c r="G12" i="266"/>
  <c r="G23" i="253"/>
  <c r="H17" i="360"/>
  <c r="G12" i="242"/>
  <c r="G12" i="254"/>
  <c r="G12" i="230"/>
  <c r="J7" i="224"/>
  <c r="J20" i="224" s="1"/>
  <c r="K23" i="226"/>
  <c r="J7" i="248"/>
  <c r="J20" i="248" s="1"/>
  <c r="K23" i="250"/>
  <c r="J7" i="236"/>
  <c r="J20" i="236" s="1"/>
  <c r="K23" i="238"/>
  <c r="I20" i="260"/>
  <c r="K23" i="262"/>
  <c r="J7" i="271"/>
  <c r="J20" i="271" s="1"/>
  <c r="K23" i="273"/>
  <c r="G23" i="229"/>
  <c r="G23" i="265"/>
  <c r="G23" i="276"/>
  <c r="G23" i="241"/>
  <c r="L54" i="274"/>
  <c r="G21" i="268" s="1"/>
  <c r="N20" i="275"/>
  <c r="L38" i="273"/>
  <c r="J29" i="272"/>
  <c r="K32" i="272" s="1"/>
  <c r="J40" i="271"/>
  <c r="L6" i="273" s="1"/>
  <c r="I20" i="271"/>
  <c r="L26" i="270"/>
  <c r="H39" i="268"/>
  <c r="L54" i="263"/>
  <c r="G21" i="256" s="1"/>
  <c r="N20" i="264"/>
  <c r="L38" i="262"/>
  <c r="J29" i="261"/>
  <c r="K32" i="261" s="1"/>
  <c r="H39" i="256"/>
  <c r="L39" i="262" s="1"/>
  <c r="J40" i="260"/>
  <c r="L6" i="262" s="1"/>
  <c r="J7" i="260"/>
  <c r="J20" i="260" s="1"/>
  <c r="L26" i="259"/>
  <c r="L54" i="227"/>
  <c r="G21" i="220" s="1"/>
  <c r="N20" i="252"/>
  <c r="J29" i="237"/>
  <c r="K32" i="237" s="1"/>
  <c r="I20" i="224"/>
  <c r="N20" i="228"/>
  <c r="H39" i="232"/>
  <c r="L39" i="238" s="1"/>
  <c r="H39" i="244"/>
  <c r="L39" i="250" s="1"/>
  <c r="I20" i="248"/>
  <c r="J40" i="224"/>
  <c r="L6" i="226" s="1"/>
  <c r="N20" i="240"/>
  <c r="L54" i="251"/>
  <c r="G21" i="244" s="1"/>
  <c r="L26" i="223"/>
  <c r="L38" i="226"/>
  <c r="L40" i="226" s="1"/>
  <c r="L45" i="226" s="1"/>
  <c r="J40" i="236"/>
  <c r="L6" i="238" s="1"/>
  <c r="L54" i="239"/>
  <c r="G21" i="232" s="1"/>
  <c r="L38" i="250"/>
  <c r="L26" i="235"/>
  <c r="L38" i="238"/>
  <c r="J40" i="248"/>
  <c r="L6" i="250" s="1"/>
  <c r="I20" i="236"/>
  <c r="J29" i="225"/>
  <c r="K32" i="225" s="1"/>
  <c r="L26" i="247"/>
  <c r="J29" i="249"/>
  <c r="K32" i="249" s="1"/>
  <c r="H39" i="207"/>
  <c r="G39" i="207"/>
  <c r="K27" i="207"/>
  <c r="H24" i="207"/>
  <c r="G23" i="207"/>
  <c r="G24" i="207" s="1"/>
  <c r="K16" i="207"/>
  <c r="H13" i="207"/>
  <c r="G12" i="207"/>
  <c r="H39" i="206"/>
  <c r="G39" i="206"/>
  <c r="K27" i="206"/>
  <c r="H24" i="206"/>
  <c r="G23" i="206"/>
  <c r="G24" i="206" s="1"/>
  <c r="K16" i="206"/>
  <c r="H13" i="206"/>
  <c r="G12" i="206"/>
  <c r="G13" i="206" s="1"/>
  <c r="I42" i="203"/>
  <c r="J42" i="203" s="1"/>
  <c r="I41" i="203"/>
  <c r="J41" i="203" s="1"/>
  <c r="I40" i="203"/>
  <c r="J40" i="203" s="1"/>
  <c r="I39" i="203"/>
  <c r="J39" i="203" s="1"/>
  <c r="I38" i="203"/>
  <c r="J38" i="203" s="1"/>
  <c r="I37" i="203"/>
  <c r="J37" i="203" s="1"/>
  <c r="I36" i="203"/>
  <c r="J36" i="203" s="1"/>
  <c r="I35" i="203"/>
  <c r="J35" i="203" s="1"/>
  <c r="I34" i="203"/>
  <c r="J34" i="203" s="1"/>
  <c r="I33" i="203"/>
  <c r="J33" i="203" s="1"/>
  <c r="I32" i="203"/>
  <c r="J32" i="203" s="1"/>
  <c r="I31" i="203"/>
  <c r="J31" i="203" s="1"/>
  <c r="I30" i="203"/>
  <c r="J30" i="203" s="1"/>
  <c r="I29" i="203"/>
  <c r="J29" i="203" s="1"/>
  <c r="I28" i="203"/>
  <c r="J28" i="203" s="1"/>
  <c r="I27" i="203"/>
  <c r="J27" i="203" s="1"/>
  <c r="I26" i="203"/>
  <c r="J26" i="203" s="1"/>
  <c r="I25" i="203"/>
  <c r="J25" i="203" s="1"/>
  <c r="I24" i="203"/>
  <c r="J24" i="203" s="1"/>
  <c r="I23" i="203"/>
  <c r="J23" i="203" s="1"/>
  <c r="I22" i="203"/>
  <c r="J22" i="203" s="1"/>
  <c r="I21" i="203"/>
  <c r="J21" i="203" s="1"/>
  <c r="I20" i="203"/>
  <c r="J20" i="203" s="1"/>
  <c r="I19" i="203"/>
  <c r="J19" i="203" s="1"/>
  <c r="I18" i="203"/>
  <c r="J18" i="203" s="1"/>
  <c r="I17" i="203"/>
  <c r="J17" i="203" s="1"/>
  <c r="I16" i="203"/>
  <c r="J16" i="203" s="1"/>
  <c r="I15" i="203"/>
  <c r="J15" i="203" s="1"/>
  <c r="I14" i="203"/>
  <c r="J14" i="203" s="1"/>
  <c r="I13" i="203"/>
  <c r="J13" i="203" s="1"/>
  <c r="J12" i="203"/>
  <c r="J11" i="203"/>
  <c r="I42" i="202"/>
  <c r="J42" i="202" s="1"/>
  <c r="I41" i="202"/>
  <c r="J41" i="202" s="1"/>
  <c r="I40" i="202"/>
  <c r="J40" i="202" s="1"/>
  <c r="I39" i="202"/>
  <c r="J39" i="202" s="1"/>
  <c r="I38" i="202"/>
  <c r="J38" i="202" s="1"/>
  <c r="I37" i="202"/>
  <c r="J37" i="202" s="1"/>
  <c r="I36" i="202"/>
  <c r="J36" i="202" s="1"/>
  <c r="I35" i="202"/>
  <c r="J35" i="202" s="1"/>
  <c r="I34" i="202"/>
  <c r="J34" i="202" s="1"/>
  <c r="I33" i="202"/>
  <c r="J33" i="202" s="1"/>
  <c r="I32" i="202"/>
  <c r="J32" i="202" s="1"/>
  <c r="I31" i="202"/>
  <c r="J31" i="202" s="1"/>
  <c r="I30" i="202"/>
  <c r="J30" i="202" s="1"/>
  <c r="I29" i="202"/>
  <c r="J29" i="202" s="1"/>
  <c r="I28" i="202"/>
  <c r="J28" i="202" s="1"/>
  <c r="I27" i="202"/>
  <c r="J27" i="202" s="1"/>
  <c r="I26" i="202"/>
  <c r="J26" i="202" s="1"/>
  <c r="I25" i="202"/>
  <c r="J25" i="202" s="1"/>
  <c r="I24" i="202"/>
  <c r="J24" i="202" s="1"/>
  <c r="I23" i="202"/>
  <c r="J23" i="202" s="1"/>
  <c r="I22" i="202"/>
  <c r="J22" i="202" s="1"/>
  <c r="I21" i="202"/>
  <c r="J21" i="202" s="1"/>
  <c r="I20" i="202"/>
  <c r="J20" i="202" s="1"/>
  <c r="I19" i="202"/>
  <c r="J19" i="202" s="1"/>
  <c r="I18" i="202"/>
  <c r="J18" i="202" s="1"/>
  <c r="I17" i="202"/>
  <c r="J17" i="202" s="1"/>
  <c r="I16" i="202"/>
  <c r="J16" i="202" s="1"/>
  <c r="I15" i="202"/>
  <c r="J15" i="202" s="1"/>
  <c r="I14" i="202"/>
  <c r="J14" i="202" s="1"/>
  <c r="I13" i="202"/>
  <c r="J13" i="202" s="1"/>
  <c r="J12" i="202"/>
  <c r="J11" i="202"/>
  <c r="I42" i="201"/>
  <c r="J42" i="201" s="1"/>
  <c r="I41" i="201"/>
  <c r="J41" i="201" s="1"/>
  <c r="I40" i="201"/>
  <c r="J40" i="201" s="1"/>
  <c r="I39" i="201"/>
  <c r="J39" i="201" s="1"/>
  <c r="I38" i="201"/>
  <c r="J38" i="201" s="1"/>
  <c r="I37" i="201"/>
  <c r="J37" i="201" s="1"/>
  <c r="I36" i="201"/>
  <c r="J36" i="201" s="1"/>
  <c r="I35" i="201"/>
  <c r="J35" i="201" s="1"/>
  <c r="I34" i="201"/>
  <c r="J34" i="201" s="1"/>
  <c r="I33" i="201"/>
  <c r="J33" i="201" s="1"/>
  <c r="I32" i="201"/>
  <c r="J32" i="201" s="1"/>
  <c r="I31" i="201"/>
  <c r="J31" i="201" s="1"/>
  <c r="I30" i="201"/>
  <c r="J30" i="201" s="1"/>
  <c r="I29" i="201"/>
  <c r="J29" i="201" s="1"/>
  <c r="I28" i="201"/>
  <c r="J28" i="201" s="1"/>
  <c r="I27" i="201"/>
  <c r="J27" i="201" s="1"/>
  <c r="I26" i="201"/>
  <c r="J26" i="201" s="1"/>
  <c r="I25" i="201"/>
  <c r="J25" i="201" s="1"/>
  <c r="I24" i="201"/>
  <c r="J24" i="201" s="1"/>
  <c r="I23" i="201"/>
  <c r="J23" i="201" s="1"/>
  <c r="I22" i="201"/>
  <c r="J22" i="201" s="1"/>
  <c r="I21" i="201"/>
  <c r="J21" i="201" s="1"/>
  <c r="I20" i="201"/>
  <c r="J20" i="201" s="1"/>
  <c r="I19" i="201"/>
  <c r="J19" i="201" s="1"/>
  <c r="I18" i="201"/>
  <c r="J18" i="201" s="1"/>
  <c r="I17" i="201"/>
  <c r="J17" i="201" s="1"/>
  <c r="I16" i="201"/>
  <c r="J16" i="201" s="1"/>
  <c r="I15" i="201"/>
  <c r="J15" i="201" s="1"/>
  <c r="I14" i="201"/>
  <c r="J14" i="201" s="1"/>
  <c r="I13" i="201"/>
  <c r="J13" i="201" s="1"/>
  <c r="J12" i="201"/>
  <c r="J11" i="201"/>
  <c r="I42" i="200"/>
  <c r="J42" i="200" s="1"/>
  <c r="I41" i="200"/>
  <c r="J41" i="200" s="1"/>
  <c r="I40" i="200"/>
  <c r="J40" i="200" s="1"/>
  <c r="I39" i="200"/>
  <c r="J39" i="200" s="1"/>
  <c r="I38" i="200"/>
  <c r="J38" i="200" s="1"/>
  <c r="I37" i="200"/>
  <c r="J37" i="200" s="1"/>
  <c r="I36" i="200"/>
  <c r="J36" i="200" s="1"/>
  <c r="I35" i="200"/>
  <c r="J35" i="200" s="1"/>
  <c r="I34" i="200"/>
  <c r="J34" i="200" s="1"/>
  <c r="I33" i="200"/>
  <c r="J33" i="200" s="1"/>
  <c r="I32" i="200"/>
  <c r="J32" i="200" s="1"/>
  <c r="I31" i="200"/>
  <c r="J31" i="200" s="1"/>
  <c r="I30" i="200"/>
  <c r="J30" i="200" s="1"/>
  <c r="I29" i="200"/>
  <c r="J29" i="200" s="1"/>
  <c r="I28" i="200"/>
  <c r="J28" i="200" s="1"/>
  <c r="I27" i="200"/>
  <c r="J27" i="200" s="1"/>
  <c r="I26" i="200"/>
  <c r="J26" i="200" s="1"/>
  <c r="I25" i="200"/>
  <c r="J25" i="200" s="1"/>
  <c r="I24" i="200"/>
  <c r="J24" i="200" s="1"/>
  <c r="I23" i="200"/>
  <c r="J23" i="200" s="1"/>
  <c r="I22" i="200"/>
  <c r="J22" i="200" s="1"/>
  <c r="I21" i="200"/>
  <c r="J21" i="200" s="1"/>
  <c r="I20" i="200"/>
  <c r="J20" i="200" s="1"/>
  <c r="I19" i="200"/>
  <c r="J19" i="200" s="1"/>
  <c r="I18" i="200"/>
  <c r="J18" i="200" s="1"/>
  <c r="I17" i="200"/>
  <c r="J17" i="200" s="1"/>
  <c r="I16" i="200"/>
  <c r="J16" i="200" s="1"/>
  <c r="I15" i="200"/>
  <c r="J15" i="200" s="1"/>
  <c r="I14" i="200"/>
  <c r="J14" i="200" s="1"/>
  <c r="I13" i="200"/>
  <c r="J13" i="200" s="1"/>
  <c r="J12" i="200"/>
  <c r="J11" i="200"/>
  <c r="B43" i="380"/>
  <c r="L39" i="273" l="1"/>
  <c r="L40" i="273" s="1"/>
  <c r="L45" i="273" s="1"/>
  <c r="A45" i="380"/>
  <c r="L40" i="262"/>
  <c r="L45" i="262" s="1"/>
  <c r="L40" i="250"/>
  <c r="L45" i="250" s="1"/>
  <c r="L40" i="238"/>
  <c r="L45" i="238" s="1"/>
  <c r="J22" i="224"/>
  <c r="I22" i="271"/>
  <c r="J16" i="272"/>
  <c r="I22" i="248"/>
  <c r="J16" i="249"/>
  <c r="I22" i="224"/>
  <c r="J16" i="225"/>
  <c r="I22" i="260"/>
  <c r="J16" i="261"/>
  <c r="J22" i="248"/>
  <c r="J22" i="260"/>
  <c r="I22" i="236"/>
  <c r="J16" i="237"/>
  <c r="J22" i="236"/>
  <c r="J22" i="271"/>
  <c r="G13" i="207"/>
  <c r="I33" i="28"/>
  <c r="I32" i="28"/>
  <c r="J32" i="28" s="1"/>
  <c r="I31" i="28"/>
  <c r="J31" i="28" s="1"/>
  <c r="I30" i="28"/>
  <c r="J30" i="28" s="1"/>
  <c r="I29" i="28"/>
  <c r="J29" i="28" s="1"/>
  <c r="I27" i="12"/>
  <c r="M47" i="131"/>
  <c r="M46" i="131"/>
  <c r="M45" i="131"/>
  <c r="M44" i="131"/>
  <c r="M43" i="131"/>
  <c r="M42" i="131"/>
  <c r="M41" i="131"/>
  <c r="M40" i="131"/>
  <c r="M39" i="131"/>
  <c r="M38" i="131"/>
  <c r="M37" i="131"/>
  <c r="M36" i="131"/>
  <c r="M35" i="131"/>
  <c r="M34" i="131"/>
  <c r="M33" i="131"/>
  <c r="M32" i="131"/>
  <c r="M31" i="131"/>
  <c r="M30" i="131"/>
  <c r="M29" i="131"/>
  <c r="M28" i="131"/>
  <c r="M27" i="131"/>
  <c r="M26" i="131"/>
  <c r="M25" i="131"/>
  <c r="M24" i="131"/>
  <c r="M23" i="131"/>
  <c r="M22" i="131"/>
  <c r="M21" i="131"/>
  <c r="M20" i="131"/>
  <c r="M19" i="131"/>
  <c r="M18" i="131"/>
  <c r="M17" i="131"/>
  <c r="M16" i="131"/>
  <c r="M15" i="131"/>
  <c r="M14" i="131"/>
  <c r="M13" i="131"/>
  <c r="M12" i="131"/>
  <c r="M11" i="131"/>
  <c r="M47" i="130"/>
  <c r="M46" i="130"/>
  <c r="M45" i="130"/>
  <c r="M44" i="130"/>
  <c r="M43" i="130"/>
  <c r="M42" i="130"/>
  <c r="M41" i="130"/>
  <c r="M40" i="130"/>
  <c r="M39" i="130"/>
  <c r="M38" i="130"/>
  <c r="M37" i="130"/>
  <c r="M36" i="130"/>
  <c r="M35" i="130"/>
  <c r="M34" i="130"/>
  <c r="M33" i="130"/>
  <c r="M32" i="130"/>
  <c r="M31" i="130"/>
  <c r="M30" i="130"/>
  <c r="M29" i="130"/>
  <c r="M28" i="130"/>
  <c r="M27" i="130"/>
  <c r="M26" i="130"/>
  <c r="M25" i="130"/>
  <c r="M24" i="130"/>
  <c r="M23" i="130"/>
  <c r="M22" i="130"/>
  <c r="M21" i="130"/>
  <c r="M20" i="130"/>
  <c r="M19" i="130"/>
  <c r="M18" i="130"/>
  <c r="M17" i="130"/>
  <c r="M16" i="130"/>
  <c r="M15" i="130"/>
  <c r="M14" i="130"/>
  <c r="M13" i="130"/>
  <c r="M12" i="130"/>
  <c r="M11" i="130"/>
  <c r="M47" i="129"/>
  <c r="M46" i="129"/>
  <c r="M45" i="129"/>
  <c r="M44" i="129"/>
  <c r="M43" i="129"/>
  <c r="M42" i="129"/>
  <c r="M41" i="129"/>
  <c r="M40" i="129"/>
  <c r="M39" i="129"/>
  <c r="M38" i="129"/>
  <c r="M37" i="129"/>
  <c r="M36" i="129"/>
  <c r="M35" i="129"/>
  <c r="M34" i="129"/>
  <c r="M33" i="129"/>
  <c r="M32" i="129"/>
  <c r="M31" i="129"/>
  <c r="M30" i="129"/>
  <c r="M29" i="129"/>
  <c r="M28" i="129"/>
  <c r="M27" i="129"/>
  <c r="M26" i="129"/>
  <c r="M25" i="129"/>
  <c r="M24" i="129"/>
  <c r="M23" i="129"/>
  <c r="M22" i="129"/>
  <c r="M21" i="129"/>
  <c r="M20" i="129"/>
  <c r="M19" i="129"/>
  <c r="M18" i="129"/>
  <c r="M17" i="129"/>
  <c r="M16" i="129"/>
  <c r="M15" i="129"/>
  <c r="M14" i="129"/>
  <c r="M13" i="129"/>
  <c r="M12" i="129"/>
  <c r="M11" i="129"/>
  <c r="H9" i="125"/>
  <c r="H44" i="125" s="1"/>
  <c r="H9" i="126" s="1"/>
  <c r="H44" i="126" s="1"/>
  <c r="H9" i="127" s="1"/>
  <c r="H44" i="127" s="1"/>
  <c r="H9" i="128" s="1"/>
  <c r="H44" i="128" s="1"/>
  <c r="I28" i="112"/>
  <c r="I28" i="113"/>
  <c r="K27" i="96"/>
  <c r="K16" i="96"/>
  <c r="L25" i="37"/>
  <c r="J25" i="37"/>
  <c r="H25" i="37"/>
  <c r="N24" i="37"/>
  <c r="N23" i="37"/>
  <c r="N22" i="37"/>
  <c r="N21" i="37"/>
  <c r="N20" i="37"/>
  <c r="N19" i="37"/>
  <c r="N17" i="37"/>
  <c r="N14" i="37"/>
  <c r="I6" i="24"/>
  <c r="C26" i="121" s="1"/>
  <c r="G41" i="21"/>
  <c r="G20" i="21"/>
  <c r="B44" i="380"/>
  <c r="A46" i="380" l="1"/>
  <c r="L5" i="273"/>
  <c r="K10" i="273"/>
  <c r="L5" i="262"/>
  <c r="K10" i="262"/>
  <c r="L5" i="250"/>
  <c r="K10" i="250"/>
  <c r="L5" i="238"/>
  <c r="K10" i="238"/>
  <c r="L5" i="226"/>
  <c r="K10" i="226"/>
  <c r="N25" i="37"/>
  <c r="C45" i="121" s="1"/>
  <c r="I7" i="12"/>
  <c r="G10" i="7" s="1"/>
  <c r="H38" i="8"/>
  <c r="H28" i="8"/>
  <c r="B45" i="380"/>
  <c r="A47" i="380" l="1"/>
  <c r="M47" i="122"/>
  <c r="M46" i="122"/>
  <c r="M45" i="122"/>
  <c r="M44" i="122"/>
  <c r="M43" i="122"/>
  <c r="M42" i="122"/>
  <c r="M41" i="122"/>
  <c r="M40" i="122"/>
  <c r="M39" i="122"/>
  <c r="M38" i="122"/>
  <c r="M37" i="122"/>
  <c r="M36" i="122"/>
  <c r="M35" i="122"/>
  <c r="M34" i="122"/>
  <c r="M33" i="122"/>
  <c r="M32" i="122"/>
  <c r="M31" i="122"/>
  <c r="M30" i="122"/>
  <c r="M29" i="122"/>
  <c r="M28" i="122"/>
  <c r="M27" i="122"/>
  <c r="M26" i="122"/>
  <c r="M25" i="122"/>
  <c r="M24" i="122"/>
  <c r="M23" i="122"/>
  <c r="M22" i="122"/>
  <c r="M21" i="122"/>
  <c r="M20" i="122"/>
  <c r="M19" i="122"/>
  <c r="M18" i="122"/>
  <c r="M17" i="122"/>
  <c r="M16" i="122"/>
  <c r="M15" i="122"/>
  <c r="M14" i="122"/>
  <c r="M13" i="122"/>
  <c r="M12" i="122"/>
  <c r="M11" i="122"/>
  <c r="M47" i="97"/>
  <c r="M46" i="97"/>
  <c r="M45" i="97"/>
  <c r="M44" i="97"/>
  <c r="M43" i="97"/>
  <c r="M42" i="97"/>
  <c r="M41" i="97"/>
  <c r="M40" i="97"/>
  <c r="M39" i="97"/>
  <c r="M38" i="97"/>
  <c r="M37" i="97"/>
  <c r="M36" i="97"/>
  <c r="M35" i="97"/>
  <c r="M34" i="97"/>
  <c r="M33" i="97"/>
  <c r="M32" i="97"/>
  <c r="M31" i="97"/>
  <c r="M30" i="97"/>
  <c r="M29" i="97"/>
  <c r="M28" i="97"/>
  <c r="M27" i="97"/>
  <c r="M26" i="97"/>
  <c r="B46" i="380"/>
  <c r="A48" i="380" l="1"/>
  <c r="H17" i="8"/>
  <c r="J7" i="34"/>
  <c r="J20" i="34" s="1"/>
  <c r="G24" i="4"/>
  <c r="G23" i="4"/>
  <c r="J24" i="108"/>
  <c r="J39" i="108"/>
  <c r="J20" i="111"/>
  <c r="H20" i="111"/>
  <c r="K23" i="115"/>
  <c r="J23" i="115"/>
  <c r="G23" i="115"/>
  <c r="E23" i="115"/>
  <c r="F26" i="106"/>
  <c r="G26" i="106"/>
  <c r="H26" i="106"/>
  <c r="I26" i="106"/>
  <c r="J26" i="106"/>
  <c r="L23" i="106"/>
  <c r="L24" i="106"/>
  <c r="L25" i="106"/>
  <c r="L22" i="106"/>
  <c r="L16" i="106"/>
  <c r="L17" i="106"/>
  <c r="L18" i="106"/>
  <c r="L19" i="106"/>
  <c r="L20" i="106"/>
  <c r="H40" i="105" s="1"/>
  <c r="L15" i="106"/>
  <c r="L10" i="106"/>
  <c r="L11" i="106"/>
  <c r="L12" i="106"/>
  <c r="L13" i="106"/>
  <c r="L9" i="106"/>
  <c r="B47" i="380"/>
  <c r="A49" i="380" l="1"/>
  <c r="H38" i="105"/>
  <c r="L26" i="106"/>
  <c r="K5" i="36"/>
  <c r="K20" i="29"/>
  <c r="B48" i="380"/>
  <c r="A50" i="380" l="1"/>
  <c r="J21" i="29"/>
  <c r="G13" i="4" s="1"/>
  <c r="I22" i="29"/>
  <c r="H13" i="4" s="1"/>
  <c r="B49" i="380"/>
  <c r="A51" i="380" l="1"/>
  <c r="I50" i="56"/>
  <c r="B4" i="102"/>
  <c r="C15" i="121"/>
  <c r="C5" i="121"/>
  <c r="E46" i="57"/>
  <c r="G45" i="57"/>
  <c r="H57" i="57"/>
  <c r="I23" i="116"/>
  <c r="G22" i="112"/>
  <c r="B50" i="380"/>
  <c r="A52" i="380" l="1"/>
  <c r="H17" i="344"/>
  <c r="N23" i="111"/>
  <c r="N22" i="111"/>
  <c r="N21" i="111"/>
  <c r="N18" i="111"/>
  <c r="N17" i="111"/>
  <c r="N16" i="111"/>
  <c r="F28" i="45"/>
  <c r="B51" i="380"/>
  <c r="A53" i="380" l="1"/>
  <c r="K28" i="45"/>
  <c r="K9" i="46" s="1"/>
  <c r="J17" i="27"/>
  <c r="C41" i="121" s="1"/>
  <c r="H43" i="28"/>
  <c r="H10" i="200" s="1"/>
  <c r="H43" i="200" s="1"/>
  <c r="H10" i="201" s="1"/>
  <c r="H43" i="201" s="1"/>
  <c r="H10" i="202" s="1"/>
  <c r="H43" i="202" s="1"/>
  <c r="H10" i="203" s="1"/>
  <c r="H43" i="203" s="1"/>
  <c r="I42" i="28"/>
  <c r="J42" i="28" s="1"/>
  <c r="I41" i="28"/>
  <c r="J41" i="28" s="1"/>
  <c r="I40" i="28"/>
  <c r="J40" i="28" s="1"/>
  <c r="I39" i="28"/>
  <c r="J39" i="28" s="1"/>
  <c r="I38" i="28"/>
  <c r="J38" i="28" s="1"/>
  <c r="I37" i="28"/>
  <c r="J37" i="28" s="1"/>
  <c r="I36" i="28"/>
  <c r="J36" i="28" s="1"/>
  <c r="I35" i="28"/>
  <c r="J35" i="28" s="1"/>
  <c r="I34" i="28"/>
  <c r="J34" i="28" s="1"/>
  <c r="J33" i="28"/>
  <c r="I28" i="28"/>
  <c r="J28" i="28" s="1"/>
  <c r="I27" i="28"/>
  <c r="J27" i="28" s="1"/>
  <c r="I26" i="28"/>
  <c r="J26" i="28" s="1"/>
  <c r="I25" i="28"/>
  <c r="J25" i="28" s="1"/>
  <c r="I24" i="28"/>
  <c r="J24" i="28" s="1"/>
  <c r="I23" i="28"/>
  <c r="J23" i="28" s="1"/>
  <c r="I22" i="28"/>
  <c r="J22" i="28" s="1"/>
  <c r="I21" i="28"/>
  <c r="J21" i="28" s="1"/>
  <c r="I20" i="28"/>
  <c r="J20" i="28" s="1"/>
  <c r="I19" i="28"/>
  <c r="J19" i="28" s="1"/>
  <c r="I18" i="28"/>
  <c r="J18" i="28" s="1"/>
  <c r="I17" i="28"/>
  <c r="J17" i="28" s="1"/>
  <c r="I16" i="28"/>
  <c r="J16" i="28" s="1"/>
  <c r="I15" i="28"/>
  <c r="J15" i="28" s="1"/>
  <c r="I14" i="28"/>
  <c r="J14" i="28" s="1"/>
  <c r="I13" i="28"/>
  <c r="J13" i="28" s="1"/>
  <c r="B52" i="380"/>
  <c r="A54" i="380" l="1"/>
  <c r="J7" i="27"/>
  <c r="H11" i="24"/>
  <c r="I19" i="22"/>
  <c r="I27" i="19"/>
  <c r="I8" i="197" s="1"/>
  <c r="I27" i="197" s="1"/>
  <c r="I8" i="198" s="1"/>
  <c r="I27" i="198" s="1"/>
  <c r="I8" i="199" s="1"/>
  <c r="I27" i="199" s="1"/>
  <c r="F43" i="13"/>
  <c r="F5" i="14" s="1"/>
  <c r="F43" i="14" s="1"/>
  <c r="F5" i="123" s="1"/>
  <c r="F43" i="123" s="1"/>
  <c r="K27" i="15"/>
  <c r="K8" i="16" s="1"/>
  <c r="K27" i="16" s="1"/>
  <c r="H22" i="119"/>
  <c r="G22" i="119"/>
  <c r="I22" i="119"/>
  <c r="J22" i="119"/>
  <c r="J43" i="119"/>
  <c r="J25" i="118"/>
  <c r="I42" i="118"/>
  <c r="J42" i="118"/>
  <c r="K27" i="117"/>
  <c r="K9" i="319" s="1"/>
  <c r="K27" i="319" s="1"/>
  <c r="E27" i="117"/>
  <c r="E9" i="319" s="1"/>
  <c r="E27" i="319" s="1"/>
  <c r="E9" i="320" s="1"/>
  <c r="E27" i="320" s="1"/>
  <c r="E9" i="321" s="1"/>
  <c r="E27" i="321" s="1"/>
  <c r="E9" i="322" s="1"/>
  <c r="E27" i="322" s="1"/>
  <c r="F27" i="117"/>
  <c r="F9" i="319" s="1"/>
  <c r="F27" i="319" s="1"/>
  <c r="F9" i="320" s="1"/>
  <c r="F27" i="320" s="1"/>
  <c r="F9" i="321" s="1"/>
  <c r="F27" i="321" s="1"/>
  <c r="F9" i="322" s="1"/>
  <c r="F27" i="322" s="1"/>
  <c r="G27" i="117"/>
  <c r="G9" i="319" s="1"/>
  <c r="G27" i="319" s="1"/>
  <c r="G9" i="320" s="1"/>
  <c r="G27" i="320" s="1"/>
  <c r="G9" i="321" s="1"/>
  <c r="G27" i="321" s="1"/>
  <c r="G9" i="322" s="1"/>
  <c r="G27" i="322" s="1"/>
  <c r="H27" i="117"/>
  <c r="H9" i="319" s="1"/>
  <c r="H27" i="319" s="1"/>
  <c r="H9" i="320" s="1"/>
  <c r="H27" i="320" s="1"/>
  <c r="H9" i="321" s="1"/>
  <c r="H27" i="321" s="1"/>
  <c r="H9" i="322" s="1"/>
  <c r="H27" i="322" s="1"/>
  <c r="I27" i="117"/>
  <c r="I9" i="319" s="1"/>
  <c r="I27" i="319" s="1"/>
  <c r="I9" i="320" s="1"/>
  <c r="I27" i="320" s="1"/>
  <c r="I9" i="321" s="1"/>
  <c r="I27" i="321" s="1"/>
  <c r="I9" i="322" s="1"/>
  <c r="I27" i="322" s="1"/>
  <c r="J27" i="117"/>
  <c r="J9" i="319" s="1"/>
  <c r="J27" i="319" s="1"/>
  <c r="J9" i="320" s="1"/>
  <c r="J27" i="320" s="1"/>
  <c r="J9" i="321" s="1"/>
  <c r="J27" i="321" s="1"/>
  <c r="J9" i="322" s="1"/>
  <c r="J27" i="322" s="1"/>
  <c r="L27" i="117"/>
  <c r="G23" i="116"/>
  <c r="H23" i="116"/>
  <c r="M23" i="114"/>
  <c r="M25" i="114" s="1"/>
  <c r="M27" i="114" s="1"/>
  <c r="G12" i="113"/>
  <c r="H12" i="113"/>
  <c r="H23" i="113"/>
  <c r="I30" i="113"/>
  <c r="K32" i="113" s="1"/>
  <c r="G41" i="113"/>
  <c r="H41" i="113"/>
  <c r="G11" i="112"/>
  <c r="H12" i="112"/>
  <c r="G23" i="112"/>
  <c r="H23" i="112"/>
  <c r="I30" i="112"/>
  <c r="K32" i="112" s="1"/>
  <c r="G41" i="112"/>
  <c r="H41" i="112"/>
  <c r="N13" i="111"/>
  <c r="N15" i="111"/>
  <c r="L21" i="110"/>
  <c r="L24" i="110" s="1"/>
  <c r="L45" i="110"/>
  <c r="L51" i="110"/>
  <c r="L7" i="109"/>
  <c r="L44" i="109"/>
  <c r="J25" i="108"/>
  <c r="J29" i="108" s="1"/>
  <c r="I7" i="107"/>
  <c r="J9" i="107"/>
  <c r="J10" i="107"/>
  <c r="J11" i="107"/>
  <c r="J12" i="107"/>
  <c r="J13" i="107"/>
  <c r="J14" i="107"/>
  <c r="J15" i="107"/>
  <c r="H20" i="107"/>
  <c r="H22" i="107" s="1"/>
  <c r="J21" i="107"/>
  <c r="J32" i="107"/>
  <c r="J34" i="107" s="1"/>
  <c r="J39" i="107"/>
  <c r="E26" i="106"/>
  <c r="K26" i="106"/>
  <c r="G43" i="105"/>
  <c r="H16" i="104"/>
  <c r="G44" i="104"/>
  <c r="G12" i="344" s="1"/>
  <c r="G44" i="344" s="1"/>
  <c r="L35" i="109"/>
  <c r="H31" i="103"/>
  <c r="H39" i="103" s="1"/>
  <c r="L39" i="109" s="1"/>
  <c r="B53" i="380"/>
  <c r="A55" i="380" l="1"/>
  <c r="I20" i="22"/>
  <c r="H26" i="1"/>
  <c r="L9" i="319"/>
  <c r="L27" i="319" s="1"/>
  <c r="L9" i="320" s="1"/>
  <c r="L27" i="320" s="1"/>
  <c r="L9" i="321" s="1"/>
  <c r="L27" i="321" s="1"/>
  <c r="L9" i="322" s="1"/>
  <c r="L27" i="322" s="1"/>
  <c r="G23" i="113"/>
  <c r="H18" i="344"/>
  <c r="H20" i="344"/>
  <c r="H19" i="344"/>
  <c r="I25" i="118"/>
  <c r="H41" i="344"/>
  <c r="K9" i="320"/>
  <c r="K27" i="320" s="1"/>
  <c r="G12" i="112"/>
  <c r="H43" i="258"/>
  <c r="L38" i="109"/>
  <c r="K23" i="109"/>
  <c r="C43" i="121" s="1"/>
  <c r="H43" i="234"/>
  <c r="H43" i="246"/>
  <c r="H43" i="222"/>
  <c r="H39" i="105"/>
  <c r="H43" i="105" s="1"/>
  <c r="L55" i="48"/>
  <c r="G20" i="103"/>
  <c r="I20" i="107"/>
  <c r="F5" i="124"/>
  <c r="F43" i="124" s="1"/>
  <c r="F5" i="132" s="1"/>
  <c r="F43" i="132" s="1"/>
  <c r="L54" i="110"/>
  <c r="K32" i="108"/>
  <c r="J40" i="107"/>
  <c r="J7" i="107"/>
  <c r="J20" i="107" s="1"/>
  <c r="L42" i="117"/>
  <c r="B54" i="380"/>
  <c r="A56" i="380" l="1"/>
  <c r="L42" i="319"/>
  <c r="H23" i="344"/>
  <c r="L42" i="320"/>
  <c r="K9" i="321"/>
  <c r="K27" i="321" s="1"/>
  <c r="G44" i="256"/>
  <c r="J16" i="108"/>
  <c r="L40" i="109"/>
  <c r="L45" i="109" s="1"/>
  <c r="J22" i="107"/>
  <c r="I22" i="107"/>
  <c r="L6" i="109"/>
  <c r="G21" i="103"/>
  <c r="G44" i="103" s="1"/>
  <c r="G44" i="232"/>
  <c r="G44" i="244"/>
  <c r="G44" i="220"/>
  <c r="L20" i="111"/>
  <c r="N19" i="111"/>
  <c r="N20" i="111" s="1"/>
  <c r="B55" i="380"/>
  <c r="A57" i="380" l="1"/>
  <c r="L5" i="109"/>
  <c r="K10" i="109"/>
  <c r="L42" i="321"/>
  <c r="K9" i="322"/>
  <c r="K27" i="322" s="1"/>
  <c r="H44" i="364" s="1"/>
  <c r="Q9" i="2"/>
  <c r="Q10" i="2" s="1"/>
  <c r="Q11" i="2" s="1"/>
  <c r="Q12" i="2" s="1"/>
  <c r="Q13" i="2" s="1"/>
  <c r="Q14" i="2" s="1"/>
  <c r="Q15" i="2" s="1"/>
  <c r="Q16" i="2" s="1"/>
  <c r="Q17" i="2" s="1"/>
  <c r="Q18" i="2" s="1"/>
  <c r="Q19" i="2" s="1"/>
  <c r="Q20" i="2" s="1"/>
  <c r="Q21" i="2" s="1"/>
  <c r="Q22" i="2" s="1"/>
  <c r="Q23" i="2" s="1"/>
  <c r="Q24" i="2" s="1"/>
  <c r="Q25" i="2" s="1"/>
  <c r="Q26" i="2" s="1"/>
  <c r="Q27" i="2" s="1"/>
  <c r="Q28" i="2" s="1"/>
  <c r="Q29" i="2" s="1"/>
  <c r="Q30" i="2" s="1"/>
  <c r="Q31" i="2" s="1"/>
  <c r="Q32" i="2" s="1"/>
  <c r="Q33" i="2" s="1"/>
  <c r="Q34" i="2" s="1"/>
  <c r="Q35" i="2" s="1"/>
  <c r="Q36" i="2" s="1"/>
  <c r="Q37" i="2" s="1"/>
  <c r="Q38" i="2" s="1"/>
  <c r="Q39" i="2" s="1"/>
  <c r="Q40" i="2" s="1"/>
  <c r="Q41" i="2" s="1"/>
  <c r="Q42" i="2" s="1"/>
  <c r="Q43" i="2" s="1"/>
  <c r="Q44" i="2" s="1"/>
  <c r="Q45" i="2" s="1"/>
  <c r="Q46" i="2" s="1"/>
  <c r="Q47" i="2" s="1"/>
  <c r="Q48" i="2" s="1"/>
  <c r="Q49" i="2" s="1"/>
  <c r="Q50" i="2" s="1"/>
  <c r="Q51" i="2" s="1"/>
  <c r="Q52" i="2" s="1"/>
  <c r="Q53" i="2" s="1"/>
  <c r="Q54" i="2" s="1"/>
  <c r="Q55" i="2" s="1"/>
  <c r="Q56" i="2" s="1"/>
  <c r="Q57" i="2" s="1"/>
  <c r="Q58" i="2" s="1"/>
  <c r="Q59" i="2" s="1"/>
  <c r="U11" i="2"/>
  <c r="U10" i="2"/>
  <c r="D34" i="2"/>
  <c r="L26" i="10"/>
  <c r="B56" i="380"/>
  <c r="B9" i="282" l="1"/>
  <c r="B9" i="297"/>
  <c r="B9" i="298"/>
  <c r="B9" i="118"/>
  <c r="B9" i="299"/>
  <c r="B9" i="300"/>
  <c r="G6" i="343"/>
  <c r="G6" i="342"/>
  <c r="G6" i="341"/>
  <c r="G6" i="340"/>
  <c r="G6" i="281"/>
  <c r="G6" i="335"/>
  <c r="G6" i="329"/>
  <c r="G6" i="324"/>
  <c r="G6" i="338"/>
  <c r="G6" i="332"/>
  <c r="G6" i="327"/>
  <c r="G6" i="293"/>
  <c r="G6" i="337"/>
  <c r="G6" i="331"/>
  <c r="G6" i="294"/>
  <c r="G6" i="117"/>
  <c r="G6" i="319" s="1"/>
  <c r="G6" i="320" s="1"/>
  <c r="G6" i="321" s="1"/>
  <c r="G6" i="322" s="1"/>
  <c r="G6" i="336"/>
  <c r="G6" i="295"/>
  <c r="G6" i="326"/>
  <c r="G6" i="296"/>
  <c r="G6" i="330"/>
  <c r="G6" i="325"/>
  <c r="G6" i="339"/>
  <c r="G6" i="333"/>
  <c r="G6" i="328"/>
  <c r="G6" i="323"/>
  <c r="F26" i="30"/>
  <c r="B43" i="39"/>
  <c r="B28" i="22"/>
  <c r="C35" i="30"/>
  <c r="N46" i="37"/>
  <c r="B5" i="381"/>
  <c r="B8" i="273"/>
  <c r="B8" i="262"/>
  <c r="C38" i="2"/>
  <c r="J6" i="57" s="1"/>
  <c r="B8" i="109"/>
  <c r="B8" i="250"/>
  <c r="B8" i="238"/>
  <c r="B8" i="226"/>
  <c r="B2" i="109"/>
  <c r="B31" i="119"/>
  <c r="B31" i="283"/>
  <c r="B41" i="283"/>
  <c r="B31" i="304"/>
  <c r="J10" i="303"/>
  <c r="B36" i="300"/>
  <c r="C26" i="284"/>
  <c r="D26" i="278"/>
  <c r="D26" i="372"/>
  <c r="D26" i="243"/>
  <c r="D26" i="369"/>
  <c r="I23" i="255"/>
  <c r="J5" i="373"/>
  <c r="J5" i="285"/>
  <c r="J5" i="370"/>
  <c r="J6" i="254"/>
  <c r="B3" i="277"/>
  <c r="B3" i="242"/>
  <c r="B41" i="119"/>
  <c r="B36" i="118"/>
  <c r="B32" i="112"/>
  <c r="B28" i="113"/>
  <c r="B27" i="206"/>
  <c r="B16" i="96"/>
  <c r="J6" i="113"/>
  <c r="B14" i="113"/>
  <c r="B24" i="112"/>
  <c r="J6" i="241"/>
  <c r="B3" i="42"/>
  <c r="J8" i="375"/>
  <c r="J7" i="375"/>
  <c r="N44" i="264"/>
  <c r="N44" i="240"/>
  <c r="N44" i="111"/>
  <c r="B24" i="263"/>
  <c r="B24" i="227"/>
  <c r="B36" i="263"/>
  <c r="B36" i="227"/>
  <c r="B32" i="250"/>
  <c r="B24" i="238"/>
  <c r="B23" i="238"/>
  <c r="B22" i="238"/>
  <c r="B2" i="250"/>
  <c r="E49" i="249"/>
  <c r="B48" i="249"/>
  <c r="B46" i="249"/>
  <c r="B45" i="249"/>
  <c r="B44" i="249"/>
  <c r="E40" i="249"/>
  <c r="E35" i="249"/>
  <c r="C18" i="249"/>
  <c r="C8" i="249"/>
  <c r="B2" i="236"/>
  <c r="B41" i="304"/>
  <c r="B31" i="303"/>
  <c r="J10" i="302"/>
  <c r="B41" i="303"/>
  <c r="B31" i="302"/>
  <c r="B5" i="283"/>
  <c r="B5" i="301"/>
  <c r="C26" i="286"/>
  <c r="D26" i="373"/>
  <c r="D26" i="255"/>
  <c r="D26" i="370"/>
  <c r="I23" i="267"/>
  <c r="I23" i="231"/>
  <c r="J5" i="284"/>
  <c r="J5" i="371"/>
  <c r="J5" i="287"/>
  <c r="J6" i="277"/>
  <c r="J6" i="242"/>
  <c r="B3" i="266"/>
  <c r="B3" i="230"/>
  <c r="J10" i="119"/>
  <c r="J5" i="115"/>
  <c r="J6" i="306"/>
  <c r="B16" i="206"/>
  <c r="B10" i="22"/>
  <c r="B3" i="113"/>
  <c r="B3" i="112"/>
  <c r="B13" i="112"/>
  <c r="B3" i="241"/>
  <c r="J8" i="379"/>
  <c r="J7" i="379"/>
  <c r="J10" i="111"/>
  <c r="J10" i="264"/>
  <c r="J10" i="240"/>
  <c r="J11" i="37"/>
  <c r="B24" i="251"/>
  <c r="B24" i="110"/>
  <c r="B36" i="251"/>
  <c r="B36" i="110"/>
  <c r="B32" i="226"/>
  <c r="B24" i="109"/>
  <c r="B23" i="109"/>
  <c r="B22" i="109"/>
  <c r="B2" i="226"/>
  <c r="E49" i="225"/>
  <c r="B48" i="225"/>
  <c r="B46" i="225"/>
  <c r="B45" i="225"/>
  <c r="B44" i="225"/>
  <c r="E40" i="225"/>
  <c r="E35" i="225"/>
  <c r="C18" i="225"/>
  <c r="C8" i="225"/>
  <c r="B41" i="302"/>
  <c r="B31" i="301"/>
  <c r="B5" i="304"/>
  <c r="J10" i="301"/>
  <c r="C26" i="287"/>
  <c r="D27" i="267"/>
  <c r="D27" i="371"/>
  <c r="D27" i="231"/>
  <c r="I27" i="255"/>
  <c r="H5" i="280"/>
  <c r="J5" i="267"/>
  <c r="H5" i="291"/>
  <c r="J5" i="231"/>
  <c r="J6" i="315"/>
  <c r="J6" i="307"/>
  <c r="B3" i="313"/>
  <c r="B5" i="119"/>
  <c r="B9" i="50"/>
  <c r="D26" i="368"/>
  <c r="D26" i="114" s="1"/>
  <c r="B27" i="207"/>
  <c r="B2" i="24"/>
  <c r="B35" i="112"/>
  <c r="B41" i="301"/>
  <c r="J10" i="283"/>
  <c r="B5" i="303"/>
  <c r="B45" i="300"/>
  <c r="C26" i="115"/>
  <c r="D26" i="267"/>
  <c r="D26" i="371"/>
  <c r="D26" i="231"/>
  <c r="I23" i="278"/>
  <c r="I23" i="243"/>
  <c r="J5" i="279"/>
  <c r="J5" i="372"/>
  <c r="J5" i="286"/>
  <c r="J5" i="369"/>
  <c r="J6" i="266"/>
  <c r="J6" i="230"/>
  <c r="B3" i="254"/>
  <c r="J6" i="229"/>
  <c r="B45" i="118"/>
  <c r="J5" i="114"/>
  <c r="B16" i="207"/>
  <c r="B35" i="306"/>
  <c r="B28" i="112"/>
  <c r="J10" i="304"/>
  <c r="D27" i="372"/>
  <c r="I27" i="267"/>
  <c r="J5" i="278"/>
  <c r="J5" i="368"/>
  <c r="J6" i="317"/>
  <c r="B3" i="307"/>
  <c r="I27" i="114"/>
  <c r="B13" i="113"/>
  <c r="J6" i="265"/>
  <c r="J7" i="377"/>
  <c r="L11" i="275"/>
  <c r="L11" i="240"/>
  <c r="B24" i="239"/>
  <c r="B6" i="263"/>
  <c r="B32" i="273"/>
  <c r="B23" i="262"/>
  <c r="B22" i="226"/>
  <c r="B2" i="238"/>
  <c r="B48" i="272"/>
  <c r="B46" i="237"/>
  <c r="B44" i="272"/>
  <c r="E40" i="237"/>
  <c r="C18" i="272"/>
  <c r="C8" i="237"/>
  <c r="C8" i="108"/>
  <c r="B14" i="38"/>
  <c r="C42" i="47"/>
  <c r="D47" i="48"/>
  <c r="D13" i="48"/>
  <c r="B9" i="51"/>
  <c r="G6" i="216"/>
  <c r="G6" i="210"/>
  <c r="D27" i="209"/>
  <c r="J5" i="208"/>
  <c r="B36" i="42"/>
  <c r="B29" i="207"/>
  <c r="B15" i="96"/>
  <c r="B15" i="206" s="1"/>
  <c r="L12" i="37"/>
  <c r="C38" i="36"/>
  <c r="B4" i="26"/>
  <c r="B35" i="31"/>
  <c r="B7" i="27"/>
  <c r="F25" i="2"/>
  <c r="G4" i="159"/>
  <c r="G4" i="165"/>
  <c r="G4" i="171"/>
  <c r="G4" i="177"/>
  <c r="G4" i="183"/>
  <c r="G4" i="189"/>
  <c r="G4" i="195"/>
  <c r="G4" i="192"/>
  <c r="B5" i="302"/>
  <c r="D27" i="255"/>
  <c r="H5" i="289"/>
  <c r="J6" i="313"/>
  <c r="B3" i="229"/>
  <c r="B27" i="96"/>
  <c r="J6" i="253"/>
  <c r="J8" i="378"/>
  <c r="J7" i="376"/>
  <c r="J10" i="275"/>
  <c r="N44" i="228"/>
  <c r="B54" i="274"/>
  <c r="B54" i="227"/>
  <c r="B6" i="251"/>
  <c r="B32" i="262"/>
  <c r="B24" i="273"/>
  <c r="B23" i="250"/>
  <c r="B3" i="108"/>
  <c r="B48" i="261"/>
  <c r="B46" i="108"/>
  <c r="B44" i="261"/>
  <c r="E40" i="108"/>
  <c r="C18" i="261"/>
  <c r="B2" i="271"/>
  <c r="B3" i="272"/>
  <c r="D12" i="48"/>
  <c r="D45" i="48"/>
  <c r="B16" i="58"/>
  <c r="B37" i="50"/>
  <c r="G6" i="215"/>
  <c r="G6" i="46"/>
  <c r="D27" i="208"/>
  <c r="G29" i="42"/>
  <c r="G30" i="38"/>
  <c r="B29" i="206"/>
  <c r="B14" i="96"/>
  <c r="B14" i="206" s="1"/>
  <c r="J7" i="40"/>
  <c r="C27" i="39"/>
  <c r="C27" i="36"/>
  <c r="B15" i="31"/>
  <c r="B51" i="57"/>
  <c r="B4" i="27"/>
  <c r="G4" i="198"/>
  <c r="G4" i="160"/>
  <c r="G4" i="166"/>
  <c r="G4" i="172"/>
  <c r="G4" i="178"/>
  <c r="G4" i="184"/>
  <c r="G4" i="190"/>
  <c r="G4" i="196"/>
  <c r="C26" i="279"/>
  <c r="D27" i="243"/>
  <c r="H5" i="290"/>
  <c r="J6" i="311"/>
  <c r="I23" i="114"/>
  <c r="J6" i="38"/>
  <c r="J8" i="377"/>
  <c r="J7" i="374"/>
  <c r="L11" i="264"/>
  <c r="L11" i="228"/>
  <c r="B24" i="274"/>
  <c r="B54" i="110"/>
  <c r="B36" i="239"/>
  <c r="B32" i="238"/>
  <c r="B24" i="262"/>
  <c r="B23" i="226"/>
  <c r="E49" i="272"/>
  <c r="B48" i="237"/>
  <c r="B45" i="272"/>
  <c r="B44" i="237"/>
  <c r="E35" i="272"/>
  <c r="C18" i="237"/>
  <c r="B2" i="260"/>
  <c r="B3" i="261"/>
  <c r="L52" i="48"/>
  <c r="B6" i="58"/>
  <c r="G6" i="218"/>
  <c r="G6" i="214"/>
  <c r="G6" i="45"/>
  <c r="D27" i="43"/>
  <c r="B29" i="38"/>
  <c r="B3" i="207"/>
  <c r="B25" i="38"/>
  <c r="C26" i="36"/>
  <c r="C11" i="26"/>
  <c r="B3" i="31"/>
  <c r="B22" i="56"/>
  <c r="G4" i="199"/>
  <c r="G4" i="161"/>
  <c r="G4" i="167"/>
  <c r="G4" i="173"/>
  <c r="G4" i="179"/>
  <c r="G4" i="185"/>
  <c r="G4" i="191"/>
  <c r="G4" i="157"/>
  <c r="C26" i="285"/>
  <c r="D27" i="370"/>
  <c r="I27" i="243"/>
  <c r="J5" i="255"/>
  <c r="B3" i="317"/>
  <c r="B37" i="118"/>
  <c r="D27" i="368"/>
  <c r="D27" i="114" s="1"/>
  <c r="B35" i="113"/>
  <c r="G36" i="112"/>
  <c r="B3" i="253"/>
  <c r="J8" i="376"/>
  <c r="N44" i="252"/>
  <c r="J10" i="228"/>
  <c r="B54" i="263"/>
  <c r="B6" i="110"/>
  <c r="B6" i="239"/>
  <c r="B24" i="250"/>
  <c r="B22" i="273"/>
  <c r="E49" i="261"/>
  <c r="B48" i="108"/>
  <c r="B45" i="261"/>
  <c r="B44" i="108"/>
  <c r="E35" i="261"/>
  <c r="C18" i="108"/>
  <c r="B2" i="248"/>
  <c r="B3" i="249"/>
  <c r="E25" i="48"/>
  <c r="B21" i="51"/>
  <c r="G6" i="213"/>
  <c r="B6" i="27"/>
  <c r="J5" i="43"/>
  <c r="B14" i="42"/>
  <c r="B24" i="42" s="1"/>
  <c r="B3" i="206"/>
  <c r="B15" i="38"/>
  <c r="J8" i="40"/>
  <c r="B45" i="39"/>
  <c r="C25" i="36"/>
  <c r="C10" i="26"/>
  <c r="B2" i="13"/>
  <c r="B11" i="56"/>
  <c r="G4" i="197"/>
  <c r="G4" i="162"/>
  <c r="G4" i="168"/>
  <c r="G4" i="174"/>
  <c r="G4" i="180"/>
  <c r="G4" i="186"/>
  <c r="B37" i="300"/>
  <c r="D27" i="278"/>
  <c r="D27" i="369"/>
  <c r="I27" i="231"/>
  <c r="J5" i="243"/>
  <c r="B3" i="315"/>
  <c r="H5" i="116"/>
  <c r="B3" i="306"/>
  <c r="B14" i="112"/>
  <c r="B3" i="265"/>
  <c r="J8" i="374"/>
  <c r="L11" i="252"/>
  <c r="L11" i="111"/>
  <c r="B54" i="251"/>
  <c r="B36" i="274"/>
  <c r="B6" i="227"/>
  <c r="B24" i="226"/>
  <c r="B22" i="262"/>
  <c r="B2" i="273"/>
  <c r="E49" i="237"/>
  <c r="B46" i="272"/>
  <c r="B45" i="237"/>
  <c r="E40" i="272"/>
  <c r="E35" i="237"/>
  <c r="C8" i="272"/>
  <c r="B2" i="224"/>
  <c r="B3" i="237"/>
  <c r="D20" i="48"/>
  <c r="C18" i="51"/>
  <c r="G6" i="212"/>
  <c r="B28" i="42"/>
  <c r="K37" i="42"/>
  <c r="B13" i="42"/>
  <c r="B25" i="42" s="1"/>
  <c r="B3" i="96"/>
  <c r="B30" i="29"/>
  <c r="C9" i="26"/>
  <c r="B21" i="31"/>
  <c r="B3" i="12"/>
  <c r="B49" i="57"/>
  <c r="F27" i="2"/>
  <c r="G4" i="19"/>
  <c r="G4" i="163"/>
  <c r="G4" i="169"/>
  <c r="G4" i="175"/>
  <c r="G4" i="181"/>
  <c r="G4" i="187"/>
  <c r="G4" i="193"/>
  <c r="G4" i="17"/>
  <c r="D27" i="373"/>
  <c r="I27" i="278"/>
  <c r="H5" i="292"/>
  <c r="B3" i="311"/>
  <c r="J6" i="112"/>
  <c r="J6" i="276"/>
  <c r="B3" i="276"/>
  <c r="J7" i="378"/>
  <c r="N44" i="275"/>
  <c r="J10" i="252"/>
  <c r="B54" i="239"/>
  <c r="B6" i="274"/>
  <c r="B32" i="109"/>
  <c r="B23" i="273"/>
  <c r="B22" i="250"/>
  <c r="B2" i="262"/>
  <c r="E49" i="108"/>
  <c r="B46" i="261"/>
  <c r="B45" i="108"/>
  <c r="E40" i="261"/>
  <c r="E35" i="108"/>
  <c r="C8" i="261"/>
  <c r="B2" i="107"/>
  <c r="B3" i="225"/>
  <c r="B10" i="51"/>
  <c r="G6" i="217"/>
  <c r="G6" i="211"/>
  <c r="C25" i="44"/>
  <c r="J5" i="209"/>
  <c r="B3" i="38"/>
  <c r="B29" i="96"/>
  <c r="C7" i="39"/>
  <c r="B9" i="27"/>
  <c r="B8" i="27"/>
  <c r="B22" i="31"/>
  <c r="F21" i="52"/>
  <c r="B37" i="27"/>
  <c r="G4" i="158"/>
  <c r="G4" i="164"/>
  <c r="G4" i="170"/>
  <c r="G4" i="176"/>
  <c r="G4" i="182"/>
  <c r="G4" i="188"/>
  <c r="G4" i="194"/>
  <c r="G4" i="137"/>
  <c r="G4" i="143"/>
  <c r="G4" i="149"/>
  <c r="G4" i="156"/>
  <c r="G4" i="151"/>
  <c r="G4" i="16"/>
  <c r="G4" i="144"/>
  <c r="G4" i="145"/>
  <c r="G4" i="15"/>
  <c r="G4" i="133"/>
  <c r="G4" i="139"/>
  <c r="G4" i="152"/>
  <c r="B43" i="12"/>
  <c r="G4" i="134"/>
  <c r="G4" i="140"/>
  <c r="G4" i="146"/>
  <c r="G4" i="153"/>
  <c r="B2" i="57"/>
  <c r="G4" i="135"/>
  <c r="G4" i="141"/>
  <c r="G4" i="148"/>
  <c r="G4" i="154"/>
  <c r="B41" i="12"/>
  <c r="G4" i="136"/>
  <c r="G4" i="142"/>
  <c r="G4" i="147"/>
  <c r="G4" i="155"/>
  <c r="G4" i="138"/>
  <c r="G4" i="150"/>
  <c r="A58" i="380"/>
  <c r="D42" i="2"/>
  <c r="F50" i="2"/>
  <c r="D50" i="2"/>
  <c r="F48" i="2"/>
  <c r="F46" i="2"/>
  <c r="D29" i="2"/>
  <c r="D25" i="2"/>
  <c r="D28" i="2"/>
  <c r="B12" i="38" s="1"/>
  <c r="B11" i="42" s="1"/>
  <c r="D27" i="2"/>
  <c r="B7" i="38" s="1"/>
  <c r="B7" i="42" s="1"/>
  <c r="D26" i="2"/>
  <c r="H44" i="360"/>
  <c r="H44" i="362"/>
  <c r="H44" i="356"/>
  <c r="H44" i="358"/>
  <c r="H22" i="344"/>
  <c r="H44" i="104"/>
  <c r="H12" i="344" s="1"/>
  <c r="L42" i="322"/>
  <c r="B45" i="273"/>
  <c r="B45" i="262"/>
  <c r="B45" i="250"/>
  <c r="B45" i="226"/>
  <c r="B45" i="238"/>
  <c r="B45" i="109"/>
  <c r="D45" i="2"/>
  <c r="D48" i="2"/>
  <c r="D47" i="2"/>
  <c r="D35" i="2"/>
  <c r="I34" i="12"/>
  <c r="I33" i="12"/>
  <c r="I32" i="12"/>
  <c r="I31" i="12"/>
  <c r="I26" i="12"/>
  <c r="I25" i="12"/>
  <c r="I24" i="12"/>
  <c r="I23" i="12"/>
  <c r="I22" i="12"/>
  <c r="I21" i="12"/>
  <c r="I20" i="12"/>
  <c r="I19" i="12"/>
  <c r="I18" i="12"/>
  <c r="I16" i="12"/>
  <c r="I15" i="12"/>
  <c r="G12" i="11" s="1"/>
  <c r="I14" i="12"/>
  <c r="G23" i="9" s="1"/>
  <c r="G30" i="9" s="1"/>
  <c r="I13" i="12"/>
  <c r="I12" i="12"/>
  <c r="G11" i="9" s="1"/>
  <c r="G20" i="9" s="1"/>
  <c r="I11" i="12"/>
  <c r="G41" i="8" s="1"/>
  <c r="G45" i="8" s="1"/>
  <c r="I10" i="12"/>
  <c r="G31" i="8" s="1"/>
  <c r="G38" i="8" s="1"/>
  <c r="I9" i="12"/>
  <c r="G20" i="8" s="1"/>
  <c r="G28" i="8" s="1"/>
  <c r="I8" i="12"/>
  <c r="G11" i="8" s="1"/>
  <c r="G17" i="8" s="1"/>
  <c r="G27" i="17"/>
  <c r="G8" i="157" s="1"/>
  <c r="G27" i="157" s="1"/>
  <c r="G8" i="158" s="1"/>
  <c r="G27" i="158" s="1"/>
  <c r="G8" i="159" s="1"/>
  <c r="G27" i="159" s="1"/>
  <c r="G8" i="160" s="1"/>
  <c r="G27" i="160" s="1"/>
  <c r="G8" i="161" s="1"/>
  <c r="G27" i="161" s="1"/>
  <c r="G8" i="162" s="1"/>
  <c r="G27" i="162" s="1"/>
  <c r="G8" i="163" s="1"/>
  <c r="G27" i="163" s="1"/>
  <c r="G8" i="164" s="1"/>
  <c r="G27" i="164" s="1"/>
  <c r="G8" i="165" s="1"/>
  <c r="G27" i="165" s="1"/>
  <c r="G8" i="166" s="1"/>
  <c r="G27" i="166" s="1"/>
  <c r="G8" i="167" s="1"/>
  <c r="G27" i="167" s="1"/>
  <c r="G8" i="168" s="1"/>
  <c r="G27" i="168" s="1"/>
  <c r="G8" i="169" s="1"/>
  <c r="G27" i="169" s="1"/>
  <c r="G8" i="170" s="1"/>
  <c r="G27" i="170" s="1"/>
  <c r="G8" i="171" s="1"/>
  <c r="G27" i="171" s="1"/>
  <c r="G8" i="172" s="1"/>
  <c r="G27" i="172" s="1"/>
  <c r="G8" i="173" s="1"/>
  <c r="G27" i="173" s="1"/>
  <c r="G8" i="174" s="1"/>
  <c r="G27" i="174" s="1"/>
  <c r="G8" i="175" s="1"/>
  <c r="G27" i="175" s="1"/>
  <c r="G8" i="176" s="1"/>
  <c r="G27" i="176" s="1"/>
  <c r="G8" i="177" s="1"/>
  <c r="G27" i="177" s="1"/>
  <c r="G8" i="178" s="1"/>
  <c r="G27" i="178" s="1"/>
  <c r="G8" i="179" s="1"/>
  <c r="G27" i="179" s="1"/>
  <c r="G8" i="180" s="1"/>
  <c r="G27" i="180" s="1"/>
  <c r="G8" i="181" s="1"/>
  <c r="G27" i="181" s="1"/>
  <c r="G8" i="182" s="1"/>
  <c r="G27" i="182" s="1"/>
  <c r="G8" i="183" s="1"/>
  <c r="G27" i="183" s="1"/>
  <c r="G8" i="184" s="1"/>
  <c r="G27" i="184" s="1"/>
  <c r="G8" i="185" s="1"/>
  <c r="G27" i="185" s="1"/>
  <c r="G8" i="186" s="1"/>
  <c r="G27" i="186" s="1"/>
  <c r="G8" i="187" s="1"/>
  <c r="G27" i="187" s="1"/>
  <c r="G8" i="188" s="1"/>
  <c r="G27" i="188" s="1"/>
  <c r="G8" i="189" s="1"/>
  <c r="G27" i="189" s="1"/>
  <c r="G8" i="190" s="1"/>
  <c r="G27" i="190" s="1"/>
  <c r="G8" i="191" s="1"/>
  <c r="G27" i="191" s="1"/>
  <c r="G8" i="192" s="1"/>
  <c r="G27" i="192" s="1"/>
  <c r="G8" i="193" s="1"/>
  <c r="G27" i="193" s="1"/>
  <c r="G8" i="194" s="1"/>
  <c r="G27" i="194" s="1"/>
  <c r="G8" i="195" s="1"/>
  <c r="G27" i="195" s="1"/>
  <c r="G8" i="196" s="1"/>
  <c r="G27" i="196" s="1"/>
  <c r="B57" i="380"/>
  <c r="C16" i="29" l="1"/>
  <c r="C13" i="29"/>
  <c r="B7" i="361"/>
  <c r="B9" i="234"/>
  <c r="B7" i="355"/>
  <c r="B7" i="103"/>
  <c r="B19" i="26"/>
  <c r="B7" i="256"/>
  <c r="B7" i="358"/>
  <c r="B7" i="220"/>
  <c r="B9" i="365"/>
  <c r="B6" i="305"/>
  <c r="B9" i="246"/>
  <c r="B7" i="357"/>
  <c r="B9" i="105"/>
  <c r="B7" i="364"/>
  <c r="B7" i="360"/>
  <c r="B7" i="232"/>
  <c r="B7" i="363"/>
  <c r="B9" i="258"/>
  <c r="B7" i="359"/>
  <c r="B9" i="222"/>
  <c r="B7" i="344"/>
  <c r="B7" i="268"/>
  <c r="B7" i="362"/>
  <c r="B7" i="244"/>
  <c r="B7" i="356"/>
  <c r="B7" i="104"/>
  <c r="B6" i="4"/>
  <c r="B6" i="128"/>
  <c r="B6" i="8"/>
  <c r="B6" i="9"/>
  <c r="B6" i="125"/>
  <c r="B6" i="367"/>
  <c r="B6" i="127"/>
  <c r="B6" i="126"/>
  <c r="B6" i="6"/>
  <c r="B6" i="11"/>
  <c r="B6" i="7"/>
  <c r="B6" i="1"/>
  <c r="B34" i="283"/>
  <c r="B34" i="303"/>
  <c r="B34" i="301"/>
  <c r="E4" i="340"/>
  <c r="E4" i="296"/>
  <c r="E4" i="330"/>
  <c r="E4" i="325"/>
  <c r="B8" i="50"/>
  <c r="B8" i="51" s="1"/>
  <c r="B9" i="58" s="1"/>
  <c r="E4" i="321"/>
  <c r="E4" i="45"/>
  <c r="B20" i="238"/>
  <c r="B8" i="282"/>
  <c r="B8" i="298"/>
  <c r="B8" i="300"/>
  <c r="E4" i="339"/>
  <c r="E4" i="333"/>
  <c r="E4" i="328"/>
  <c r="E4" i="323"/>
  <c r="E4" i="319"/>
  <c r="B20" i="109"/>
  <c r="B34" i="304"/>
  <c r="B34" i="302"/>
  <c r="E4" i="343"/>
  <c r="E4" i="338"/>
  <c r="E4" i="332"/>
  <c r="E4" i="327"/>
  <c r="E4" i="293"/>
  <c r="B35" i="297"/>
  <c r="B35" i="299"/>
  <c r="E4" i="342"/>
  <c r="E4" i="337"/>
  <c r="E4" i="331"/>
  <c r="E4" i="294"/>
  <c r="E4" i="117"/>
  <c r="E4" i="341"/>
  <c r="E4" i="326"/>
  <c r="B35" i="282"/>
  <c r="E4" i="281"/>
  <c r="E4" i="324"/>
  <c r="E4" i="322"/>
  <c r="B20" i="273"/>
  <c r="B8" i="297"/>
  <c r="E4" i="336"/>
  <c r="E4" i="320"/>
  <c r="B20" i="262"/>
  <c r="B35" i="298"/>
  <c r="E4" i="335"/>
  <c r="B20" i="250"/>
  <c r="C28" i="31"/>
  <c r="B8" i="299"/>
  <c r="E4" i="295"/>
  <c r="B20" i="226"/>
  <c r="C7" i="26"/>
  <c r="C7" i="29" s="1"/>
  <c r="B35" i="300"/>
  <c r="E4" i="329"/>
  <c r="B8" i="118"/>
  <c r="I24" i="278"/>
  <c r="I24" i="243"/>
  <c r="I24" i="114"/>
  <c r="B29" i="112"/>
  <c r="I24" i="267"/>
  <c r="I24" i="255"/>
  <c r="I24" i="231"/>
  <c r="I20" i="102"/>
  <c r="B8" i="20"/>
  <c r="B15" i="207"/>
  <c r="B26" i="207" s="1"/>
  <c r="B26" i="206"/>
  <c r="B13" i="306"/>
  <c r="B24" i="306" s="1"/>
  <c r="B24" i="113"/>
  <c r="B13" i="265"/>
  <c r="B13" i="241"/>
  <c r="B13" i="229"/>
  <c r="B13" i="253"/>
  <c r="B13" i="276"/>
  <c r="B14" i="207"/>
  <c r="B25" i="207" s="1"/>
  <c r="B25" i="206"/>
  <c r="B35" i="253"/>
  <c r="B35" i="242"/>
  <c r="B35" i="311"/>
  <c r="B35" i="254"/>
  <c r="B35" i="315"/>
  <c r="B35" i="317"/>
  <c r="B35" i="277"/>
  <c r="B35" i="241"/>
  <c r="B35" i="307"/>
  <c r="B35" i="276"/>
  <c r="B35" i="265"/>
  <c r="B35" i="229"/>
  <c r="B35" i="313"/>
  <c r="B35" i="266"/>
  <c r="B35" i="230"/>
  <c r="H52" i="48"/>
  <c r="D40" i="48"/>
  <c r="D42" i="48"/>
  <c r="K4" i="341"/>
  <c r="K4" i="339"/>
  <c r="B41" i="298"/>
  <c r="K4" i="295"/>
  <c r="K4" i="328"/>
  <c r="K4" i="326"/>
  <c r="B27" i="238"/>
  <c r="B42" i="283"/>
  <c r="B41" i="282"/>
  <c r="K4" i="281"/>
  <c r="K4" i="337"/>
  <c r="K4" i="335"/>
  <c r="B41" i="299"/>
  <c r="K4" i="294"/>
  <c r="K4" i="324"/>
  <c r="K4" i="321"/>
  <c r="B27" i="109"/>
  <c r="B24" i="282"/>
  <c r="B42" i="304"/>
  <c r="K4" i="336"/>
  <c r="K4" i="333"/>
  <c r="B24" i="299"/>
  <c r="B42" i="301"/>
  <c r="K4" i="323"/>
  <c r="K4" i="320"/>
  <c r="K4" i="343"/>
  <c r="B41" i="297"/>
  <c r="K4" i="296"/>
  <c r="K4" i="332"/>
  <c r="K4" i="330"/>
  <c r="B41" i="300"/>
  <c r="K4" i="293"/>
  <c r="B24" i="118"/>
  <c r="K4" i="319"/>
  <c r="K4" i="342"/>
  <c r="K4" i="331"/>
  <c r="K4" i="117"/>
  <c r="K4" i="322"/>
  <c r="B27" i="226"/>
  <c r="K4" i="340"/>
  <c r="B42" i="302"/>
  <c r="C14" i="26"/>
  <c r="B24" i="297"/>
  <c r="K4" i="329"/>
  <c r="C29" i="31"/>
  <c r="B15" i="20"/>
  <c r="K4" i="338"/>
  <c r="K4" i="327"/>
  <c r="B27" i="273"/>
  <c r="B31" i="50"/>
  <c r="B15" i="51" s="1"/>
  <c r="B17" i="58" s="1"/>
  <c r="B42" i="303"/>
  <c r="B24" i="300"/>
  <c r="B27" i="262"/>
  <c r="K4" i="45"/>
  <c r="B24" i="298"/>
  <c r="K4" i="325"/>
  <c r="B27" i="250"/>
  <c r="G7" i="280"/>
  <c r="G8" i="267"/>
  <c r="G7" i="291"/>
  <c r="G8" i="231"/>
  <c r="L8" i="376"/>
  <c r="N11" i="240"/>
  <c r="G8" i="278"/>
  <c r="G7" i="290"/>
  <c r="G8" i="243"/>
  <c r="G8" i="368"/>
  <c r="L8" i="374"/>
  <c r="N11" i="111"/>
  <c r="G8" i="373"/>
  <c r="G8" i="285"/>
  <c r="G8" i="370"/>
  <c r="G7" i="289"/>
  <c r="G8" i="255"/>
  <c r="G7" i="292"/>
  <c r="G8" i="287"/>
  <c r="L8" i="375"/>
  <c r="N11" i="264"/>
  <c r="L6" i="106"/>
  <c r="B30" i="40"/>
  <c r="G8" i="279"/>
  <c r="G8" i="369"/>
  <c r="N11" i="252"/>
  <c r="L6" i="270"/>
  <c r="G8" i="284"/>
  <c r="N11" i="228"/>
  <c r="L6" i="259"/>
  <c r="G8" i="43"/>
  <c r="G8" i="208" s="1"/>
  <c r="G8" i="209" s="1"/>
  <c r="G8" i="44" s="1"/>
  <c r="G7" i="98" s="1"/>
  <c r="L8" i="40"/>
  <c r="N12" i="37"/>
  <c r="G8" i="372"/>
  <c r="L8" i="379"/>
  <c r="L6" i="247"/>
  <c r="I38" i="42"/>
  <c r="G8" i="371"/>
  <c r="L8" i="378"/>
  <c r="L6" i="235"/>
  <c r="B30" i="41"/>
  <c r="G8" i="286"/>
  <c r="L8" i="377"/>
  <c r="N11" i="275"/>
  <c r="L6" i="223"/>
  <c r="K6" i="15"/>
  <c r="M8" i="97"/>
  <c r="K6" i="19"/>
  <c r="L6" i="17"/>
  <c r="B17" i="253"/>
  <c r="B7" i="276"/>
  <c r="B17" i="265"/>
  <c r="B17" i="241"/>
  <c r="B17" i="276"/>
  <c r="B7" i="241"/>
  <c r="B7" i="253"/>
  <c r="B7" i="112"/>
  <c r="B17" i="229"/>
  <c r="B7" i="265"/>
  <c r="G36" i="229"/>
  <c r="G36" i="230" s="1"/>
  <c r="G36" i="265"/>
  <c r="G36" i="241"/>
  <c r="G36" i="113"/>
  <c r="G36" i="306" s="1"/>
  <c r="G36" i="276"/>
  <c r="G36" i="253"/>
  <c r="B28" i="277"/>
  <c r="B28" i="306"/>
  <c r="B28" i="311"/>
  <c r="B28" i="230"/>
  <c r="B28" i="307" s="1"/>
  <c r="B28" i="313"/>
  <c r="B28" i="242"/>
  <c r="B28" i="315"/>
  <c r="B28" i="254"/>
  <c r="B28" i="317"/>
  <c r="B28" i="266"/>
  <c r="F6" i="17"/>
  <c r="F6" i="19"/>
  <c r="F6" i="15"/>
  <c r="B11" i="276"/>
  <c r="B11" i="253"/>
  <c r="B11" i="112"/>
  <c r="B22" i="241"/>
  <c r="B22" i="265"/>
  <c r="B22" i="229"/>
  <c r="B22" i="276"/>
  <c r="B11" i="241"/>
  <c r="B11" i="265"/>
  <c r="B14" i="253"/>
  <c r="B25" i="112"/>
  <c r="B14" i="229"/>
  <c r="B14" i="241"/>
  <c r="B14" i="265"/>
  <c r="B14" i="276"/>
  <c r="B28" i="265"/>
  <c r="B28" i="276"/>
  <c r="B28" i="241"/>
  <c r="B28" i="229"/>
  <c r="B28" i="253"/>
  <c r="B24" i="276"/>
  <c r="B24" i="265"/>
  <c r="B24" i="241"/>
  <c r="B24" i="229"/>
  <c r="B24" i="253"/>
  <c r="B32" i="276"/>
  <c r="B32" i="241"/>
  <c r="B32" i="265"/>
  <c r="B32" i="229"/>
  <c r="B32" i="253"/>
  <c r="B32" i="113"/>
  <c r="B25" i="113"/>
  <c r="B14" i="306"/>
  <c r="B25" i="306" s="1"/>
  <c r="A59" i="380"/>
  <c r="G33" i="9"/>
  <c r="G44" i="9" s="1"/>
  <c r="G9" i="125" s="1"/>
  <c r="G44" i="125" s="1"/>
  <c r="G9" i="126" s="1"/>
  <c r="G44" i="126" s="1"/>
  <c r="G9" i="127" s="1"/>
  <c r="G44" i="127" s="1"/>
  <c r="G9" i="128" s="1"/>
  <c r="G44" i="128" s="1"/>
  <c r="I55" i="128" s="1"/>
  <c r="F49" i="2"/>
  <c r="D49" i="2"/>
  <c r="H44" i="344"/>
  <c r="D46" i="2"/>
  <c r="B58" i="380"/>
  <c r="B11" i="229" l="1"/>
  <c r="B11" i="230" s="1"/>
  <c r="B11" i="113"/>
  <c r="B22" i="112"/>
  <c r="G8" i="115"/>
  <c r="G7" i="116" s="1"/>
  <c r="G8" i="114"/>
  <c r="B34" i="119"/>
  <c r="B35" i="118"/>
  <c r="B32" i="277"/>
  <c r="B32" i="230"/>
  <c r="B32" i="307" s="1"/>
  <c r="B32" i="266"/>
  <c r="B32" i="317"/>
  <c r="B32" i="254"/>
  <c r="B32" i="315"/>
  <c r="B32" i="242"/>
  <c r="B32" i="313"/>
  <c r="B32" i="311"/>
  <c r="B32" i="306"/>
  <c r="B29" i="253"/>
  <c r="B29" i="229"/>
  <c r="B29" i="241"/>
  <c r="B29" i="276"/>
  <c r="B29" i="113"/>
  <c r="B29" i="265"/>
  <c r="B7" i="113"/>
  <c r="B17" i="112"/>
  <c r="B7" i="229"/>
  <c r="B7" i="230" s="1"/>
  <c r="G36" i="254"/>
  <c r="G36" i="277"/>
  <c r="G36" i="307"/>
  <c r="G36" i="315"/>
  <c r="G36" i="311"/>
  <c r="G36" i="266"/>
  <c r="G36" i="242"/>
  <c r="G36" i="313"/>
  <c r="G36" i="317"/>
  <c r="B14" i="242"/>
  <c r="B14" i="230"/>
  <c r="I8" i="376"/>
  <c r="H9" i="240"/>
  <c r="H9" i="111"/>
  <c r="H10" i="37"/>
  <c r="I8" i="374"/>
  <c r="H9" i="228"/>
  <c r="E6" i="106"/>
  <c r="I8" i="379"/>
  <c r="E6" i="270"/>
  <c r="G6" i="97"/>
  <c r="G6" i="122" s="1"/>
  <c r="G6" i="129" s="1"/>
  <c r="G6" i="130" s="1"/>
  <c r="G6" i="131" s="1"/>
  <c r="E6" i="10" s="1"/>
  <c r="I8" i="378"/>
  <c r="E6" i="259"/>
  <c r="I8" i="377"/>
  <c r="H9" i="275"/>
  <c r="E6" i="247"/>
  <c r="I8" i="375"/>
  <c r="H9" i="264"/>
  <c r="E6" i="235"/>
  <c r="I8" i="40"/>
  <c r="H9" i="252"/>
  <c r="E6" i="223"/>
  <c r="B25" i="253"/>
  <c r="B25" i="229"/>
  <c r="B25" i="276"/>
  <c r="B25" i="265"/>
  <c r="B25" i="241"/>
  <c r="B42" i="119"/>
  <c r="B41" i="118"/>
  <c r="B13" i="242"/>
  <c r="B13" i="230"/>
  <c r="A60" i="380"/>
  <c r="B30" i="21"/>
  <c r="B9" i="21"/>
  <c r="B6" i="22"/>
  <c r="B27" i="22" s="1"/>
  <c r="M10" i="97"/>
  <c r="B59" i="380"/>
  <c r="B13" i="317" l="1"/>
  <c r="B24" i="317" s="1"/>
  <c r="B13" i="311"/>
  <c r="B24" i="311" s="1"/>
  <c r="B13" i="277"/>
  <c r="B24" i="277" s="1"/>
  <c r="B13" i="313"/>
  <c r="B24" i="313" s="1"/>
  <c r="B13" i="266"/>
  <c r="B24" i="266" s="1"/>
  <c r="B13" i="315"/>
  <c r="B24" i="315" s="1"/>
  <c r="B13" i="254"/>
  <c r="B24" i="254" s="1"/>
  <c r="B24" i="242"/>
  <c r="B14" i="307"/>
  <c r="B25" i="307" s="1"/>
  <c r="B25" i="230"/>
  <c r="B29" i="313"/>
  <c r="B29" i="306"/>
  <c r="B29" i="311"/>
  <c r="B29" i="230"/>
  <c r="B29" i="307" s="1"/>
  <c r="B29" i="254"/>
  <c r="B29" i="242"/>
  <c r="B29" i="277"/>
  <c r="B29" i="317"/>
  <c r="B29" i="266"/>
  <c r="B29" i="315"/>
  <c r="B14" i="317"/>
  <c r="B25" i="317" s="1"/>
  <c r="B14" i="254"/>
  <c r="B25" i="254" s="1"/>
  <c r="B14" i="311"/>
  <c r="B25" i="311" s="1"/>
  <c r="B14" i="313"/>
  <c r="B25" i="313" s="1"/>
  <c r="B14" i="266"/>
  <c r="B25" i="266" s="1"/>
  <c r="B25" i="242"/>
  <c r="B14" i="277"/>
  <c r="B25" i="277" s="1"/>
  <c r="B14" i="315"/>
  <c r="B25" i="315" s="1"/>
  <c r="B17" i="317"/>
  <c r="B17" i="277"/>
  <c r="B17" i="311"/>
  <c r="B17" i="313"/>
  <c r="B17" i="254"/>
  <c r="B7" i="311"/>
  <c r="B17" i="266"/>
  <c r="B7" i="307"/>
  <c r="B17" i="307" s="1"/>
  <c r="B7" i="277"/>
  <c r="B17" i="242"/>
  <c r="B17" i="230"/>
  <c r="B7" i="254"/>
  <c r="B7" i="266"/>
  <c r="B7" i="317"/>
  <c r="B7" i="315"/>
  <c r="B7" i="242"/>
  <c r="B7" i="313"/>
  <c r="B17" i="315"/>
  <c r="B11" i="306"/>
  <c r="B22" i="306" s="1"/>
  <c r="B22" i="113"/>
  <c r="B11" i="307"/>
  <c r="B22" i="307" s="1"/>
  <c r="B22" i="230"/>
  <c r="B11" i="277"/>
  <c r="B22" i="266"/>
  <c r="B11" i="266"/>
  <c r="B11" i="317"/>
  <c r="B11" i="254"/>
  <c r="B11" i="242"/>
  <c r="B11" i="313"/>
  <c r="B22" i="315"/>
  <c r="B22" i="317"/>
  <c r="B22" i="277"/>
  <c r="B22" i="311"/>
  <c r="B22" i="313"/>
  <c r="B22" i="254"/>
  <c r="B11" i="315"/>
  <c r="B22" i="242"/>
  <c r="B11" i="311"/>
  <c r="B13" i="307"/>
  <c r="B24" i="307" s="1"/>
  <c r="B24" i="230"/>
  <c r="B7" i="306"/>
  <c r="B17" i="306" s="1"/>
  <c r="B17" i="113"/>
  <c r="A61" i="380"/>
  <c r="M22" i="36"/>
  <c r="B60" i="380"/>
  <c r="A62" i="380" l="1"/>
  <c r="I15" i="24"/>
  <c r="C34" i="121" s="1"/>
  <c r="M20" i="97"/>
  <c r="M21" i="97"/>
  <c r="M22" i="97"/>
  <c r="M23" i="97"/>
  <c r="M24" i="97"/>
  <c r="M25" i="97"/>
  <c r="M15" i="97"/>
  <c r="B61" i="380"/>
  <c r="A63" i="380" l="1"/>
  <c r="M19" i="97"/>
  <c r="B62" i="380"/>
  <c r="A64" i="380" l="1"/>
  <c r="M17" i="97"/>
  <c r="M18" i="97"/>
  <c r="M16" i="97"/>
  <c r="B63" i="380"/>
  <c r="A65" i="380" l="1"/>
  <c r="I12" i="28"/>
  <c r="J12" i="28" s="1"/>
  <c r="J11" i="28"/>
  <c r="B64" i="380"/>
  <c r="D10" i="2" l="1"/>
  <c r="C2" i="121" s="1"/>
  <c r="D39" i="2"/>
  <c r="D2" i="121" s="1"/>
  <c r="D12" i="2"/>
  <c r="D11" i="2"/>
  <c r="D37" i="2"/>
  <c r="D9" i="2"/>
  <c r="B2" i="121" s="1"/>
  <c r="D14" i="2"/>
  <c r="A66" i="380"/>
  <c r="L27" i="17"/>
  <c r="L8" i="157" s="1"/>
  <c r="L27" i="157" s="1"/>
  <c r="L8" i="158" s="1"/>
  <c r="L27" i="158" s="1"/>
  <c r="L8" i="159" s="1"/>
  <c r="L27" i="159" s="1"/>
  <c r="L8" i="160" s="1"/>
  <c r="L27" i="160" s="1"/>
  <c r="L8" i="161" s="1"/>
  <c r="L27" i="161" s="1"/>
  <c r="L8" i="162" s="1"/>
  <c r="L27" i="162" s="1"/>
  <c r="L8" i="163" s="1"/>
  <c r="L27" i="163" s="1"/>
  <c r="L8" i="164" s="1"/>
  <c r="L27" i="164" s="1"/>
  <c r="L8" i="165" s="1"/>
  <c r="L27" i="165" s="1"/>
  <c r="L8" i="166" s="1"/>
  <c r="L27" i="166" s="1"/>
  <c r="L8" i="167" s="1"/>
  <c r="L27" i="167" s="1"/>
  <c r="L8" i="168" s="1"/>
  <c r="L27" i="168" s="1"/>
  <c r="L8" i="169" s="1"/>
  <c r="L27" i="169" s="1"/>
  <c r="L8" i="170" s="1"/>
  <c r="L27" i="170" s="1"/>
  <c r="L8" i="171" s="1"/>
  <c r="L27" i="171" s="1"/>
  <c r="L8" i="172" s="1"/>
  <c r="L27" i="172" s="1"/>
  <c r="L8" i="173" s="1"/>
  <c r="L27" i="173" s="1"/>
  <c r="L8" i="174" s="1"/>
  <c r="L27" i="174" s="1"/>
  <c r="L8" i="175" s="1"/>
  <c r="L27" i="175" s="1"/>
  <c r="L8" i="176" s="1"/>
  <c r="L27" i="176" s="1"/>
  <c r="L8" i="177" s="1"/>
  <c r="L27" i="177" s="1"/>
  <c r="L8" i="178" s="1"/>
  <c r="L27" i="178" s="1"/>
  <c r="L8" i="179" s="1"/>
  <c r="L27" i="179" s="1"/>
  <c r="L8" i="180" s="1"/>
  <c r="L27" i="180" s="1"/>
  <c r="L8" i="181" s="1"/>
  <c r="L27" i="181" s="1"/>
  <c r="L8" i="182" s="1"/>
  <c r="L27" i="182" s="1"/>
  <c r="L8" i="183" s="1"/>
  <c r="L27" i="183" s="1"/>
  <c r="L8" i="184" s="1"/>
  <c r="L27" i="184" s="1"/>
  <c r="L8" i="185" s="1"/>
  <c r="L27" i="185" s="1"/>
  <c r="L8" i="186" s="1"/>
  <c r="L27" i="186" s="1"/>
  <c r="L8" i="187" s="1"/>
  <c r="L27" i="187" s="1"/>
  <c r="L8" i="188" s="1"/>
  <c r="L27" i="188" s="1"/>
  <c r="L8" i="189" s="1"/>
  <c r="L27" i="189" s="1"/>
  <c r="L8" i="190" s="1"/>
  <c r="L27" i="190" s="1"/>
  <c r="L8" i="191" s="1"/>
  <c r="L27" i="191" s="1"/>
  <c r="L8" i="192" s="1"/>
  <c r="F27" i="15"/>
  <c r="F8" i="16" s="1"/>
  <c r="B65" i="380"/>
  <c r="A67" i="380" l="1"/>
  <c r="H46" i="54"/>
  <c r="L27" i="192"/>
  <c r="L8" i="193" s="1"/>
  <c r="L27" i="193" s="1"/>
  <c r="L8" i="194" s="1"/>
  <c r="L27" i="194" s="1"/>
  <c r="L8" i="195" s="1"/>
  <c r="L27" i="195" s="1"/>
  <c r="L8" i="196" s="1"/>
  <c r="L27" i="196" s="1"/>
  <c r="H33" i="7" s="1"/>
  <c r="D45" i="91"/>
  <c r="I31" i="24"/>
  <c r="B66" i="380"/>
  <c r="A68" i="380" l="1"/>
  <c r="H61" i="54"/>
  <c r="B67" i="380"/>
  <c r="A69" i="380" l="1"/>
  <c r="D86" i="91"/>
  <c r="D75" i="91"/>
  <c r="D65" i="91"/>
  <c r="D41" i="91"/>
  <c r="B3" i="91"/>
  <c r="J5" i="44"/>
  <c r="B22" i="42"/>
  <c r="B22" i="253" s="1"/>
  <c r="B17" i="42"/>
  <c r="B26" i="96"/>
  <c r="B25" i="96"/>
  <c r="B68" i="380"/>
  <c r="A70" i="380" l="1"/>
  <c r="B12" i="96"/>
  <c r="B23" i="96" s="1"/>
  <c r="B12" i="207"/>
  <c r="B23" i="207" s="1"/>
  <c r="B12" i="206"/>
  <c r="B23" i="206" s="1"/>
  <c r="B7" i="96"/>
  <c r="B18" i="96" s="1"/>
  <c r="B7" i="206"/>
  <c r="B18" i="206" s="1"/>
  <c r="B7" i="207"/>
  <c r="B18" i="207" s="1"/>
  <c r="G30" i="96"/>
  <c r="G30" i="207"/>
  <c r="G30" i="206"/>
  <c r="K4" i="46"/>
  <c r="K4" i="214"/>
  <c r="K4" i="215"/>
  <c r="K4" i="211"/>
  <c r="K4" i="210"/>
  <c r="K4" i="216"/>
  <c r="K4" i="217"/>
  <c r="K4" i="212"/>
  <c r="K4" i="218"/>
  <c r="K4" i="213"/>
  <c r="J6" i="96"/>
  <c r="J6" i="42" s="1"/>
  <c r="J6" i="206"/>
  <c r="J6" i="207"/>
  <c r="E4" i="46"/>
  <c r="E4" i="213"/>
  <c r="E4" i="214"/>
  <c r="E4" i="215"/>
  <c r="E4" i="211"/>
  <c r="E4" i="210"/>
  <c r="E4" i="216"/>
  <c r="E4" i="217"/>
  <c r="E4" i="212"/>
  <c r="E4" i="218"/>
  <c r="B26" i="38"/>
  <c r="B18" i="38"/>
  <c r="B23" i="38"/>
  <c r="H5" i="98"/>
  <c r="B69" i="380"/>
  <c r="A71" i="380" l="1"/>
  <c r="J8" i="41"/>
  <c r="J7" i="41"/>
  <c r="L8" i="41"/>
  <c r="I8" i="41"/>
  <c r="C37" i="39"/>
  <c r="B70" i="380"/>
  <c r="A72" i="380" l="1"/>
  <c r="B21" i="34"/>
  <c r="B10" i="34"/>
  <c r="B6" i="35"/>
  <c r="B19" i="35"/>
  <c r="B40" i="35" s="1"/>
  <c r="B60" i="30"/>
  <c r="C37" i="30"/>
  <c r="C29" i="30"/>
  <c r="C25" i="30"/>
  <c r="C19" i="30"/>
  <c r="C17" i="30"/>
  <c r="B3" i="30"/>
  <c r="B41" i="26"/>
  <c r="C20" i="29"/>
  <c r="B17" i="34" s="1"/>
  <c r="C28" i="36" s="1"/>
  <c r="C20" i="39" s="1"/>
  <c r="C30" i="39" s="1"/>
  <c r="C40" i="39" s="1"/>
  <c r="B7" i="34"/>
  <c r="C5" i="36" s="1"/>
  <c r="C6" i="39" s="1"/>
  <c r="C26" i="39" s="1"/>
  <c r="C36" i="39" s="1"/>
  <c r="B36" i="22"/>
  <c r="C18" i="20"/>
  <c r="C19" i="21" s="1"/>
  <c r="C40" i="21" s="1"/>
  <c r="B13" i="20"/>
  <c r="B14" i="21" s="1"/>
  <c r="B35" i="21" s="1"/>
  <c r="B12" i="20"/>
  <c r="B13" i="21" s="1"/>
  <c r="B34" i="21" s="1"/>
  <c r="C11" i="20"/>
  <c r="C12" i="21" s="1"/>
  <c r="C33" i="21" s="1"/>
  <c r="M8" i="122"/>
  <c r="M8" i="129" s="1"/>
  <c r="M8" i="130" s="1"/>
  <c r="M8" i="131" s="1"/>
  <c r="L6" i="10" s="1"/>
  <c r="C46" i="52"/>
  <c r="B43" i="52"/>
  <c r="K7" i="57"/>
  <c r="K5" i="57"/>
  <c r="K6" i="57"/>
  <c r="B71" i="380"/>
  <c r="A73" i="380" l="1"/>
  <c r="L6" i="194"/>
  <c r="L6" i="189"/>
  <c r="L6" i="183"/>
  <c r="L6" i="177"/>
  <c r="L6" i="171"/>
  <c r="L6" i="165"/>
  <c r="L6" i="159"/>
  <c r="L6" i="170"/>
  <c r="L6" i="164"/>
  <c r="L6" i="158"/>
  <c r="L6" i="187"/>
  <c r="L6" i="169"/>
  <c r="L6" i="188"/>
  <c r="L6" i="182"/>
  <c r="L6" i="176"/>
  <c r="L6" i="193"/>
  <c r="L6" i="175"/>
  <c r="L6" i="157"/>
  <c r="L6" i="192"/>
  <c r="L6" i="186"/>
  <c r="L6" i="180"/>
  <c r="L6" i="174"/>
  <c r="L6" i="168"/>
  <c r="L6" i="162"/>
  <c r="L6" i="196"/>
  <c r="L6" i="191"/>
  <c r="L6" i="185"/>
  <c r="L6" i="179"/>
  <c r="L6" i="173"/>
  <c r="L6" i="167"/>
  <c r="L6" i="161"/>
  <c r="L6" i="195"/>
  <c r="L6" i="190"/>
  <c r="L6" i="184"/>
  <c r="L6" i="178"/>
  <c r="L6" i="172"/>
  <c r="L6" i="166"/>
  <c r="L6" i="160"/>
  <c r="L6" i="181"/>
  <c r="L6" i="163"/>
  <c r="F6" i="192"/>
  <c r="F6" i="186"/>
  <c r="F6" i="180"/>
  <c r="F6" i="174"/>
  <c r="F6" i="168"/>
  <c r="F6" i="162"/>
  <c r="F6" i="191"/>
  <c r="F6" i="185"/>
  <c r="F6" i="179"/>
  <c r="F6" i="167"/>
  <c r="F6" i="190"/>
  <c r="F6" i="178"/>
  <c r="F6" i="160"/>
  <c r="F6" i="194"/>
  <c r="F6" i="166"/>
  <c r="F6" i="196"/>
  <c r="F6" i="189"/>
  <c r="F6" i="183"/>
  <c r="F6" i="177"/>
  <c r="F6" i="171"/>
  <c r="F6" i="165"/>
  <c r="F6" i="159"/>
  <c r="F6" i="195"/>
  <c r="F6" i="188"/>
  <c r="F6" i="182"/>
  <c r="F6" i="176"/>
  <c r="F6" i="170"/>
  <c r="F6" i="164"/>
  <c r="F6" i="158"/>
  <c r="F6" i="193"/>
  <c r="F6" i="187"/>
  <c r="F6" i="181"/>
  <c r="F6" i="175"/>
  <c r="F6" i="169"/>
  <c r="F6" i="163"/>
  <c r="F6" i="157"/>
  <c r="F6" i="173"/>
  <c r="F6" i="161"/>
  <c r="F6" i="184"/>
  <c r="F6" i="172"/>
  <c r="F6" i="199"/>
  <c r="F6" i="198"/>
  <c r="F6" i="197"/>
  <c r="K6" i="197"/>
  <c r="K6" i="199"/>
  <c r="K6" i="198"/>
  <c r="B37" i="21"/>
  <c r="B16" i="21"/>
  <c r="B17" i="22"/>
  <c r="B38" i="22" s="1"/>
  <c r="K6" i="16"/>
  <c r="K6" i="156"/>
  <c r="K6" i="154"/>
  <c r="K6" i="152"/>
  <c r="K6" i="150"/>
  <c r="K6" i="148"/>
  <c r="K6" i="146"/>
  <c r="K6" i="155"/>
  <c r="K6" i="153"/>
  <c r="K6" i="151"/>
  <c r="K6" i="149"/>
  <c r="K6" i="147"/>
  <c r="K6" i="145"/>
  <c r="K6" i="143"/>
  <c r="K6" i="141"/>
  <c r="K6" i="139"/>
  <c r="K6" i="137"/>
  <c r="K6" i="135"/>
  <c r="K6" i="133"/>
  <c r="K6" i="144"/>
  <c r="K6" i="142"/>
  <c r="K6" i="140"/>
  <c r="K6" i="138"/>
  <c r="K6" i="136"/>
  <c r="K6" i="134"/>
  <c r="B4" i="28"/>
  <c r="B4" i="203"/>
  <c r="B4" i="202"/>
  <c r="B4" i="201"/>
  <c r="B4" i="200"/>
  <c r="B2" i="14"/>
  <c r="B2" i="132"/>
  <c r="B2" i="124"/>
  <c r="B2" i="123"/>
  <c r="F6" i="16"/>
  <c r="F6" i="156"/>
  <c r="F6" i="154"/>
  <c r="F6" i="152"/>
  <c r="F6" i="150"/>
  <c r="F6" i="148"/>
  <c r="F6" i="146"/>
  <c r="F6" i="155"/>
  <c r="F6" i="153"/>
  <c r="F6" i="151"/>
  <c r="F6" i="149"/>
  <c r="F6" i="147"/>
  <c r="F6" i="144"/>
  <c r="F6" i="142"/>
  <c r="F6" i="140"/>
  <c r="F6" i="138"/>
  <c r="F6" i="136"/>
  <c r="F6" i="134"/>
  <c r="F6" i="145"/>
  <c r="F6" i="143"/>
  <c r="F6" i="141"/>
  <c r="F6" i="139"/>
  <c r="F6" i="137"/>
  <c r="F6" i="135"/>
  <c r="F6" i="133"/>
  <c r="G22" i="4"/>
  <c r="I6" i="12"/>
  <c r="I35" i="24"/>
  <c r="H41" i="32"/>
  <c r="H8" i="204" s="1"/>
  <c r="H41" i="204" s="1"/>
  <c r="H8" i="205" s="1"/>
  <c r="H41" i="205" s="1"/>
  <c r="I16" i="31" s="1"/>
  <c r="G48" i="97"/>
  <c r="G10" i="122" s="1"/>
  <c r="G48" i="122" s="1"/>
  <c r="G10" i="129" s="1"/>
  <c r="G48" i="129" s="1"/>
  <c r="G10" i="130" s="1"/>
  <c r="G48" i="130" s="1"/>
  <c r="G10" i="131" s="1"/>
  <c r="G48" i="131" s="1"/>
  <c r="G33" i="29"/>
  <c r="F35" i="12"/>
  <c r="M11" i="97"/>
  <c r="M12" i="97"/>
  <c r="M14" i="97"/>
  <c r="K18" i="36"/>
  <c r="M19" i="36" s="1"/>
  <c r="G34" i="29"/>
  <c r="G36" i="29"/>
  <c r="J17" i="30"/>
  <c r="N19" i="30" s="1"/>
  <c r="I27" i="17"/>
  <c r="I8" i="157" s="1"/>
  <c r="I27" i="157" s="1"/>
  <c r="I8" i="158" s="1"/>
  <c r="I27" i="158" s="1"/>
  <c r="I8" i="159" s="1"/>
  <c r="I27" i="159" s="1"/>
  <c r="I8" i="160" s="1"/>
  <c r="I27" i="160" s="1"/>
  <c r="I8" i="161" s="1"/>
  <c r="I27" i="161" s="1"/>
  <c r="I8" i="162" s="1"/>
  <c r="I27" i="162" s="1"/>
  <c r="I8" i="163" s="1"/>
  <c r="I27" i="163" s="1"/>
  <c r="I8" i="164" s="1"/>
  <c r="I27" i="164" s="1"/>
  <c r="I8" i="165" s="1"/>
  <c r="I27" i="165" s="1"/>
  <c r="I8" i="166" s="1"/>
  <c r="I27" i="166" s="1"/>
  <c r="I8" i="167" s="1"/>
  <c r="I27" i="167" s="1"/>
  <c r="I8" i="168" s="1"/>
  <c r="I27" i="168" s="1"/>
  <c r="I8" i="169" s="1"/>
  <c r="I27" i="169" s="1"/>
  <c r="I8" i="170" s="1"/>
  <c r="I27" i="170" s="1"/>
  <c r="I8" i="171" s="1"/>
  <c r="I27" i="171" s="1"/>
  <c r="I8" i="172" s="1"/>
  <c r="I27" i="172" s="1"/>
  <c r="I8" i="173" s="1"/>
  <c r="I27" i="173" s="1"/>
  <c r="I8" i="174" s="1"/>
  <c r="I27" i="174" s="1"/>
  <c r="I8" i="175" s="1"/>
  <c r="I27" i="175" s="1"/>
  <c r="I8" i="176" s="1"/>
  <c r="I27" i="176" s="1"/>
  <c r="I8" i="177" s="1"/>
  <c r="I27" i="177" s="1"/>
  <c r="I8" i="178" s="1"/>
  <c r="I27" i="178" s="1"/>
  <c r="I8" i="179" s="1"/>
  <c r="I27" i="179" s="1"/>
  <c r="I8" i="180" s="1"/>
  <c r="I27" i="180" s="1"/>
  <c r="I8" i="181" s="1"/>
  <c r="I27" i="181" s="1"/>
  <c r="I8" i="182" s="1"/>
  <c r="I27" i="182" s="1"/>
  <c r="I8" i="183" s="1"/>
  <c r="I27" i="183" s="1"/>
  <c r="I8" i="184" s="1"/>
  <c r="I27" i="184" s="1"/>
  <c r="I8" i="185" s="1"/>
  <c r="I27" i="185" s="1"/>
  <c r="I8" i="186" s="1"/>
  <c r="I27" i="186" s="1"/>
  <c r="I8" i="187" s="1"/>
  <c r="I27" i="187" s="1"/>
  <c r="I8" i="188" s="1"/>
  <c r="I27" i="188" s="1"/>
  <c r="I8" i="189" s="1"/>
  <c r="I27" i="189" s="1"/>
  <c r="I8" i="190" s="1"/>
  <c r="I27" i="190" s="1"/>
  <c r="I8" i="191" s="1"/>
  <c r="I27" i="191" s="1"/>
  <c r="I8" i="192" s="1"/>
  <c r="I27" i="192" s="1"/>
  <c r="I8" i="193" s="1"/>
  <c r="I27" i="193" s="1"/>
  <c r="I8" i="194" s="1"/>
  <c r="I27" i="194" s="1"/>
  <c r="I8" i="195" s="1"/>
  <c r="I27" i="195" s="1"/>
  <c r="I8" i="196" s="1"/>
  <c r="I27" i="196" s="1"/>
  <c r="J27" i="17"/>
  <c r="J8" i="157" s="1"/>
  <c r="J27" i="157" s="1"/>
  <c r="J8" i="158" s="1"/>
  <c r="J27" i="158" s="1"/>
  <c r="J8" i="159" s="1"/>
  <c r="J27" i="159" s="1"/>
  <c r="J8" i="160" s="1"/>
  <c r="J27" i="160" s="1"/>
  <c r="J8" i="161" s="1"/>
  <c r="J27" i="161" s="1"/>
  <c r="J8" i="162" s="1"/>
  <c r="J27" i="162" s="1"/>
  <c r="J8" i="163" s="1"/>
  <c r="J27" i="163" s="1"/>
  <c r="J8" i="164" s="1"/>
  <c r="J27" i="164" s="1"/>
  <c r="J8" i="165" s="1"/>
  <c r="J27" i="165" s="1"/>
  <c r="J8" i="166" s="1"/>
  <c r="J27" i="166" s="1"/>
  <c r="J8" i="167" s="1"/>
  <c r="J27" i="167" s="1"/>
  <c r="J8" i="168" s="1"/>
  <c r="J27" i="168" s="1"/>
  <c r="J8" i="169" s="1"/>
  <c r="J27" i="169" s="1"/>
  <c r="J8" i="170" s="1"/>
  <c r="J27" i="170" s="1"/>
  <c r="J8" i="171" s="1"/>
  <c r="J27" i="171" s="1"/>
  <c r="J8" i="172" s="1"/>
  <c r="J27" i="172" s="1"/>
  <c r="J8" i="173" s="1"/>
  <c r="J27" i="173" s="1"/>
  <c r="J8" i="174" s="1"/>
  <c r="J27" i="174" s="1"/>
  <c r="J8" i="175" s="1"/>
  <c r="J27" i="175" s="1"/>
  <c r="J8" i="176" s="1"/>
  <c r="J27" i="176" s="1"/>
  <c r="J8" i="177" s="1"/>
  <c r="J27" i="177" s="1"/>
  <c r="J8" i="178" s="1"/>
  <c r="J27" i="178" s="1"/>
  <c r="J8" i="179" s="1"/>
  <c r="J27" i="179" s="1"/>
  <c r="J8" i="180" s="1"/>
  <c r="J27" i="180" s="1"/>
  <c r="J8" i="181" s="1"/>
  <c r="J27" i="181" s="1"/>
  <c r="J8" i="182" s="1"/>
  <c r="J27" i="182" s="1"/>
  <c r="J8" i="183" s="1"/>
  <c r="J27" i="183" s="1"/>
  <c r="J8" i="184" s="1"/>
  <c r="J27" i="184" s="1"/>
  <c r="J8" i="185" s="1"/>
  <c r="J27" i="185" s="1"/>
  <c r="J8" i="186" s="1"/>
  <c r="J27" i="186" s="1"/>
  <c r="J8" i="187" s="1"/>
  <c r="J27" i="187" s="1"/>
  <c r="J8" i="188" s="1"/>
  <c r="J27" i="188" s="1"/>
  <c r="J8" i="189" s="1"/>
  <c r="J27" i="189" s="1"/>
  <c r="J8" i="190" s="1"/>
  <c r="J27" i="190" s="1"/>
  <c r="J8" i="191" s="1"/>
  <c r="J27" i="191" s="1"/>
  <c r="J8" i="192" s="1"/>
  <c r="J27" i="192" s="1"/>
  <c r="J8" i="193" s="1"/>
  <c r="J27" i="193" s="1"/>
  <c r="J8" i="194" s="1"/>
  <c r="J27" i="194" s="1"/>
  <c r="J8" i="195" s="1"/>
  <c r="J27" i="195" s="1"/>
  <c r="J8" i="196" s="1"/>
  <c r="J27" i="196" s="1"/>
  <c r="K27" i="17"/>
  <c r="K8" i="157" s="1"/>
  <c r="K27" i="157" s="1"/>
  <c r="K8" i="158" s="1"/>
  <c r="K27" i="158" s="1"/>
  <c r="K8" i="159" s="1"/>
  <c r="K27" i="159" s="1"/>
  <c r="K8" i="160" s="1"/>
  <c r="K27" i="160" s="1"/>
  <c r="K8" i="161" s="1"/>
  <c r="K27" i="161" s="1"/>
  <c r="K8" i="162" s="1"/>
  <c r="K27" i="162" s="1"/>
  <c r="K8" i="163" s="1"/>
  <c r="K27" i="163" s="1"/>
  <c r="K8" i="164" s="1"/>
  <c r="K27" i="164" s="1"/>
  <c r="K8" i="165" s="1"/>
  <c r="K27" i="165" s="1"/>
  <c r="K8" i="166" s="1"/>
  <c r="K27" i="166" s="1"/>
  <c r="K8" i="167" s="1"/>
  <c r="K27" i="167" s="1"/>
  <c r="K8" i="168" s="1"/>
  <c r="K27" i="168" s="1"/>
  <c r="K8" i="169" s="1"/>
  <c r="K27" i="169" s="1"/>
  <c r="K8" i="170" s="1"/>
  <c r="K27" i="170" s="1"/>
  <c r="K8" i="171" s="1"/>
  <c r="K27" i="171" s="1"/>
  <c r="K8" i="172" s="1"/>
  <c r="K27" i="172" s="1"/>
  <c r="K8" i="173" s="1"/>
  <c r="K27" i="173" s="1"/>
  <c r="K8" i="174" s="1"/>
  <c r="K27" i="174" s="1"/>
  <c r="K8" i="175" s="1"/>
  <c r="K27" i="175" s="1"/>
  <c r="K8" i="176" s="1"/>
  <c r="K27" i="176" s="1"/>
  <c r="K8" i="177" s="1"/>
  <c r="K27" i="177" s="1"/>
  <c r="K8" i="178" s="1"/>
  <c r="K27" i="178" s="1"/>
  <c r="K8" i="179" s="1"/>
  <c r="K27" i="179" s="1"/>
  <c r="K8" i="180" s="1"/>
  <c r="K27" i="180" s="1"/>
  <c r="K8" i="181" s="1"/>
  <c r="K27" i="181" s="1"/>
  <c r="K8" i="182" s="1"/>
  <c r="K27" i="182" s="1"/>
  <c r="K8" i="183" s="1"/>
  <c r="K27" i="183" s="1"/>
  <c r="K8" i="184" s="1"/>
  <c r="K27" i="184" s="1"/>
  <c r="K8" i="185" s="1"/>
  <c r="K27" i="185" s="1"/>
  <c r="K8" i="186" s="1"/>
  <c r="K27" i="186" s="1"/>
  <c r="K8" i="187" s="1"/>
  <c r="K27" i="187" s="1"/>
  <c r="K8" i="188" s="1"/>
  <c r="K27" i="188" s="1"/>
  <c r="K8" i="189" s="1"/>
  <c r="K27" i="189" s="1"/>
  <c r="K8" i="190" s="1"/>
  <c r="K27" i="190" s="1"/>
  <c r="K8" i="191" s="1"/>
  <c r="K27" i="191" s="1"/>
  <c r="K8" i="192" s="1"/>
  <c r="K27" i="192" s="1"/>
  <c r="K8" i="193" s="1"/>
  <c r="K27" i="193" s="1"/>
  <c r="K8" i="194" s="1"/>
  <c r="K27" i="194" s="1"/>
  <c r="K8" i="195" s="1"/>
  <c r="K27" i="195" s="1"/>
  <c r="K8" i="196" s="1"/>
  <c r="K27" i="196" s="1"/>
  <c r="G23" i="43"/>
  <c r="F27" i="19"/>
  <c r="F8" i="197" s="1"/>
  <c r="F27" i="197" s="1"/>
  <c r="F8" i="198" s="1"/>
  <c r="F27" i="198" s="1"/>
  <c r="F8" i="199" s="1"/>
  <c r="F27" i="199" s="1"/>
  <c r="E28" i="45"/>
  <c r="E9" i="46" s="1"/>
  <c r="E28" i="46" s="1"/>
  <c r="E9" i="210" s="1"/>
  <c r="E28" i="210" s="1"/>
  <c r="E9" i="211" s="1"/>
  <c r="E28" i="211" s="1"/>
  <c r="E9" i="212" s="1"/>
  <c r="E28" i="212" s="1"/>
  <c r="E9" i="213" s="1"/>
  <c r="E28" i="213" s="1"/>
  <c r="E9" i="214" s="1"/>
  <c r="E28" i="214" s="1"/>
  <c r="E9" i="215" s="1"/>
  <c r="E28" i="215" s="1"/>
  <c r="E9" i="216" s="1"/>
  <c r="E28" i="216" s="1"/>
  <c r="E9" i="217" s="1"/>
  <c r="E28" i="217" s="1"/>
  <c r="E9" i="218" s="1"/>
  <c r="E28" i="218" s="1"/>
  <c r="J32" i="50"/>
  <c r="H48" i="51"/>
  <c r="H47" i="381" s="1"/>
  <c r="J23" i="43"/>
  <c r="J9" i="208" s="1"/>
  <c r="J23" i="208" s="1"/>
  <c r="J9" i="209" s="1"/>
  <c r="J23" i="209" s="1"/>
  <c r="I33" i="24"/>
  <c r="I34" i="24"/>
  <c r="I36" i="24"/>
  <c r="J39" i="24"/>
  <c r="K10" i="26"/>
  <c r="K12" i="26"/>
  <c r="K21" i="39"/>
  <c r="L21" i="39"/>
  <c r="F27" i="17"/>
  <c r="F8" i="157" s="1"/>
  <c r="F27" i="157" s="1"/>
  <c r="F8" i="158" s="1"/>
  <c r="F27" i="158" s="1"/>
  <c r="F8" i="159" s="1"/>
  <c r="F27" i="159" s="1"/>
  <c r="F8" i="160" s="1"/>
  <c r="F27" i="160" s="1"/>
  <c r="F8" i="161" s="1"/>
  <c r="F27" i="161" s="1"/>
  <c r="F8" i="162" s="1"/>
  <c r="F27" i="162" s="1"/>
  <c r="F8" i="163" s="1"/>
  <c r="F27" i="163" s="1"/>
  <c r="F8" i="164" s="1"/>
  <c r="F27" i="164" s="1"/>
  <c r="F8" i="165" s="1"/>
  <c r="F27" i="165" s="1"/>
  <c r="F8" i="166" s="1"/>
  <c r="F27" i="166" s="1"/>
  <c r="F8" i="167" s="1"/>
  <c r="F27" i="167" s="1"/>
  <c r="F8" i="168" s="1"/>
  <c r="F27" i="168" s="1"/>
  <c r="F8" i="169" s="1"/>
  <c r="F27" i="169" s="1"/>
  <c r="F8" i="170" s="1"/>
  <c r="F27" i="170" s="1"/>
  <c r="F8" i="171" s="1"/>
  <c r="F27" i="171" s="1"/>
  <c r="F8" i="172" s="1"/>
  <c r="F27" i="172" s="1"/>
  <c r="F8" i="173" s="1"/>
  <c r="F27" i="173" s="1"/>
  <c r="F8" i="174" s="1"/>
  <c r="F27" i="174" s="1"/>
  <c r="F8" i="175" s="1"/>
  <c r="F27" i="175" s="1"/>
  <c r="F8" i="176" s="1"/>
  <c r="F27" i="176" s="1"/>
  <c r="F8" i="177" s="1"/>
  <c r="F27" i="177" s="1"/>
  <c r="F8" i="178" s="1"/>
  <c r="F27" i="178" s="1"/>
  <c r="F8" i="179" s="1"/>
  <c r="F27" i="179" s="1"/>
  <c r="F8" i="180" s="1"/>
  <c r="F27" i="180" s="1"/>
  <c r="F8" i="181" s="1"/>
  <c r="F27" i="181" s="1"/>
  <c r="F8" i="182" s="1"/>
  <c r="F27" i="182" s="1"/>
  <c r="F8" i="183" s="1"/>
  <c r="F27" i="183" s="1"/>
  <c r="F8" i="184" s="1"/>
  <c r="F27" i="184" s="1"/>
  <c r="F8" i="185" s="1"/>
  <c r="F27" i="185" s="1"/>
  <c r="F8" i="186" s="1"/>
  <c r="F27" i="186" s="1"/>
  <c r="F8" i="187" s="1"/>
  <c r="F27" i="187" s="1"/>
  <c r="F8" i="188" s="1"/>
  <c r="F27" i="188" s="1"/>
  <c r="F8" i="189" s="1"/>
  <c r="F27" i="189" s="1"/>
  <c r="F8" i="190" s="1"/>
  <c r="F27" i="190" s="1"/>
  <c r="F8" i="191" s="1"/>
  <c r="F27" i="191" s="1"/>
  <c r="F8" i="192" s="1"/>
  <c r="F27" i="192" s="1"/>
  <c r="F8" i="193" s="1"/>
  <c r="F27" i="193" s="1"/>
  <c r="F8" i="194" s="1"/>
  <c r="F27" i="194" s="1"/>
  <c r="F8" i="195" s="1"/>
  <c r="F27" i="195" s="1"/>
  <c r="F8" i="196" s="1"/>
  <c r="F27" i="196" s="1"/>
  <c r="H43" i="305"/>
  <c r="J8" i="24"/>
  <c r="H19" i="20"/>
  <c r="G12" i="38"/>
  <c r="G28" i="45"/>
  <c r="G9" i="46" s="1"/>
  <c r="I28" i="45"/>
  <c r="J43" i="28"/>
  <c r="J10" i="200" s="1"/>
  <c r="G27" i="19"/>
  <c r="G8" i="197" s="1"/>
  <c r="G27" i="197" s="1"/>
  <c r="G8" i="198" s="1"/>
  <c r="G27" i="198" s="1"/>
  <c r="G8" i="199" s="1"/>
  <c r="G27" i="199" s="1"/>
  <c r="H27" i="19"/>
  <c r="H8" i="197" s="1"/>
  <c r="H27" i="197" s="1"/>
  <c r="H8" i="198" s="1"/>
  <c r="H27" i="198" s="1"/>
  <c r="H8" i="199" s="1"/>
  <c r="H27" i="199" s="1"/>
  <c r="I24" i="40"/>
  <c r="J24" i="40"/>
  <c r="E23" i="43"/>
  <c r="E9" i="208" s="1"/>
  <c r="E23" i="208" s="1"/>
  <c r="E9" i="209" s="1"/>
  <c r="E23" i="209" s="1"/>
  <c r="H27" i="15"/>
  <c r="I27" i="15"/>
  <c r="J27" i="15"/>
  <c r="I47" i="57"/>
  <c r="B47" i="57"/>
  <c r="H46" i="57"/>
  <c r="M17" i="57"/>
  <c r="H17" i="57"/>
  <c r="B17" i="57"/>
  <c r="J27" i="19"/>
  <c r="J8" i="197" s="1"/>
  <c r="J27" i="197" s="1"/>
  <c r="J8" i="198" s="1"/>
  <c r="J27" i="198" s="1"/>
  <c r="J8" i="199" s="1"/>
  <c r="J27" i="199" s="1"/>
  <c r="I32" i="24"/>
  <c r="I10" i="56"/>
  <c r="F10" i="56"/>
  <c r="B12" i="102"/>
  <c r="B8" i="102"/>
  <c r="I56" i="52"/>
  <c r="I53" i="52"/>
  <c r="D21" i="52"/>
  <c r="J20" i="52"/>
  <c r="F20" i="52"/>
  <c r="L41" i="39"/>
  <c r="K41" i="39"/>
  <c r="L31" i="39"/>
  <c r="K31" i="39"/>
  <c r="K24" i="40"/>
  <c r="H46" i="4"/>
  <c r="H10" i="1" s="1"/>
  <c r="K24" i="41"/>
  <c r="J24" i="41"/>
  <c r="I24" i="41"/>
  <c r="H39" i="38"/>
  <c r="G39" i="38"/>
  <c r="K27" i="38"/>
  <c r="H24" i="38"/>
  <c r="G23" i="38"/>
  <c r="G24" i="38" s="1"/>
  <c r="H13" i="38"/>
  <c r="G12" i="96"/>
  <c r="H39" i="96"/>
  <c r="G39" i="96"/>
  <c r="H24" i="96"/>
  <c r="G23" i="96"/>
  <c r="H13" i="96"/>
  <c r="K26" i="42"/>
  <c r="G11" i="42"/>
  <c r="H33" i="42"/>
  <c r="G33" i="42"/>
  <c r="H23" i="42"/>
  <c r="G22" i="42"/>
  <c r="G23" i="42" s="1"/>
  <c r="H12" i="42"/>
  <c r="K23" i="44"/>
  <c r="J23" i="44"/>
  <c r="H23" i="44"/>
  <c r="G23" i="44"/>
  <c r="G23" i="98"/>
  <c r="H23" i="98"/>
  <c r="I23" i="98"/>
  <c r="H28" i="45"/>
  <c r="J28" i="45"/>
  <c r="J9" i="46" s="1"/>
  <c r="J28" i="46" s="1"/>
  <c r="J9" i="210" s="1"/>
  <c r="J28" i="210" s="1"/>
  <c r="J9" i="211" s="1"/>
  <c r="J28" i="211" s="1"/>
  <c r="J9" i="212" s="1"/>
  <c r="J28" i="212" s="1"/>
  <c r="J9" i="213" s="1"/>
  <c r="J28" i="213" s="1"/>
  <c r="J9" i="214" s="1"/>
  <c r="J28" i="214" s="1"/>
  <c r="J9" i="215" s="1"/>
  <c r="J28" i="215" s="1"/>
  <c r="J9" i="216" s="1"/>
  <c r="J28" i="216" s="1"/>
  <c r="J9" i="217" s="1"/>
  <c r="J28" i="217" s="1"/>
  <c r="J9" i="218" s="1"/>
  <c r="J28" i="218" s="1"/>
  <c r="G48" i="51"/>
  <c r="G47" i="381" s="1"/>
  <c r="J16" i="51"/>
  <c r="J18" i="58"/>
  <c r="P54" i="48"/>
  <c r="K26" i="10"/>
  <c r="J26" i="10"/>
  <c r="I26" i="10"/>
  <c r="H26" i="10"/>
  <c r="G26" i="10"/>
  <c r="F26" i="10"/>
  <c r="E26" i="10"/>
  <c r="H35" i="12"/>
  <c r="G27" i="15"/>
  <c r="G8" i="16" s="1"/>
  <c r="K48" i="97"/>
  <c r="K10" i="122" s="1"/>
  <c r="K48" i="122" s="1"/>
  <c r="K10" i="129" s="1"/>
  <c r="K48" i="129" s="1"/>
  <c r="K10" i="130" s="1"/>
  <c r="K48" i="130" s="1"/>
  <c r="K10" i="131" s="1"/>
  <c r="K48" i="131" s="1"/>
  <c r="I48" i="97"/>
  <c r="I10" i="122" s="1"/>
  <c r="I48" i="122" s="1"/>
  <c r="I10" i="129" s="1"/>
  <c r="I48" i="129" s="1"/>
  <c r="I10" i="130" s="1"/>
  <c r="I48" i="130" s="1"/>
  <c r="I10" i="131" s="1"/>
  <c r="I48" i="131" s="1"/>
  <c r="M13" i="97"/>
  <c r="B72" i="380"/>
  <c r="A74" i="380" l="1"/>
  <c r="C56" i="121"/>
  <c r="C50" i="121"/>
  <c r="H22" i="305"/>
  <c r="C48" i="121"/>
  <c r="I15" i="51"/>
  <c r="H40" i="305" s="1"/>
  <c r="C54" i="121"/>
  <c r="H25" i="305"/>
  <c r="G24" i="96"/>
  <c r="H24" i="305"/>
  <c r="H23" i="305"/>
  <c r="G9" i="208"/>
  <c r="G23" i="208" s="1"/>
  <c r="G9" i="209" s="1"/>
  <c r="G23" i="209" s="1"/>
  <c r="G12" i="42"/>
  <c r="I8" i="16"/>
  <c r="I27" i="16" s="1"/>
  <c r="I8" i="133" s="1"/>
  <c r="I27" i="133" s="1"/>
  <c r="I8" i="134" s="1"/>
  <c r="I27" i="134" s="1"/>
  <c r="I8" i="135" s="1"/>
  <c r="I27" i="135" s="1"/>
  <c r="I8" i="136" s="1"/>
  <c r="I27" i="136" s="1"/>
  <c r="I8" i="137" s="1"/>
  <c r="I27" i="137" s="1"/>
  <c r="I8" i="138" s="1"/>
  <c r="I27" i="138" s="1"/>
  <c r="I8" i="139" s="1"/>
  <c r="I27" i="139" s="1"/>
  <c r="I8" i="140" s="1"/>
  <c r="I27" i="140" s="1"/>
  <c r="I8" i="141" s="1"/>
  <c r="I27" i="141" s="1"/>
  <c r="I8" i="142" s="1"/>
  <c r="I27" i="142" s="1"/>
  <c r="I8" i="143" s="1"/>
  <c r="I27" i="143" s="1"/>
  <c r="I8" i="144" s="1"/>
  <c r="I27" i="144" s="1"/>
  <c r="I8" i="145" s="1"/>
  <c r="H9" i="46"/>
  <c r="H28" i="46" s="1"/>
  <c r="H9" i="210" s="1"/>
  <c r="H28" i="210" s="1"/>
  <c r="H9" i="211" s="1"/>
  <c r="H28" i="211" s="1"/>
  <c r="H9" i="212" s="1"/>
  <c r="H28" i="212" s="1"/>
  <c r="G13" i="96"/>
  <c r="K40" i="35"/>
  <c r="K19" i="35"/>
  <c r="J8" i="16"/>
  <c r="J27" i="16" s="1"/>
  <c r="J8" i="133" s="1"/>
  <c r="J27" i="133" s="1"/>
  <c r="J8" i="134" s="1"/>
  <c r="J27" i="134" s="1"/>
  <c r="J8" i="135" s="1"/>
  <c r="J27" i="135" s="1"/>
  <c r="J8" i="136" s="1"/>
  <c r="J27" i="136" s="1"/>
  <c r="J8" i="137" s="1"/>
  <c r="J27" i="137" s="1"/>
  <c r="J8" i="138" s="1"/>
  <c r="J27" i="138" s="1"/>
  <c r="J8" i="139" s="1"/>
  <c r="J27" i="139" s="1"/>
  <c r="J8" i="140" s="1"/>
  <c r="J27" i="140" s="1"/>
  <c r="J8" i="141" s="1"/>
  <c r="J27" i="141" s="1"/>
  <c r="J8" i="142" s="1"/>
  <c r="J27" i="142" s="1"/>
  <c r="J8" i="143" s="1"/>
  <c r="J27" i="143" s="1"/>
  <c r="J8" i="144" s="1"/>
  <c r="J27" i="144" s="1"/>
  <c r="J8" i="145" s="1"/>
  <c r="J27" i="145" s="1"/>
  <c r="J8" i="146" s="1"/>
  <c r="J27" i="146" s="1"/>
  <c r="J8" i="148" s="1"/>
  <c r="J27" i="148" s="1"/>
  <c r="J8" i="147" s="1"/>
  <c r="J27" i="147" s="1"/>
  <c r="J8" i="149" s="1"/>
  <c r="J27" i="149" s="1"/>
  <c r="J8" i="150" s="1"/>
  <c r="J27" i="150" s="1"/>
  <c r="J8" i="151" s="1"/>
  <c r="J27" i="151" s="1"/>
  <c r="J8" i="152" s="1"/>
  <c r="J27" i="152" s="1"/>
  <c r="J8" i="153" s="1"/>
  <c r="J27" i="153" s="1"/>
  <c r="J8" i="154" s="1"/>
  <c r="J27" i="154" s="1"/>
  <c r="J8" i="155" s="1"/>
  <c r="J27" i="155" s="1"/>
  <c r="J8" i="156" s="1"/>
  <c r="J27" i="156" s="1"/>
  <c r="H8" i="16"/>
  <c r="H27" i="16" s="1"/>
  <c r="H8" i="133" s="1"/>
  <c r="H27" i="133" s="1"/>
  <c r="H8" i="134" s="1"/>
  <c r="H27" i="134" s="1"/>
  <c r="H8" i="135" s="1"/>
  <c r="H27" i="135" s="1"/>
  <c r="H8" i="136" s="1"/>
  <c r="H27" i="136" s="1"/>
  <c r="H8" i="137" s="1"/>
  <c r="H27" i="137" s="1"/>
  <c r="H8" i="138" s="1"/>
  <c r="H27" i="138" s="1"/>
  <c r="H8" i="139" s="1"/>
  <c r="H27" i="139" s="1"/>
  <c r="H8" i="140" s="1"/>
  <c r="H27" i="140" s="1"/>
  <c r="H8" i="141" s="1"/>
  <c r="H27" i="141" s="1"/>
  <c r="H8" i="142" s="1"/>
  <c r="H27" i="142" s="1"/>
  <c r="H8" i="143" s="1"/>
  <c r="H27" i="143" s="1"/>
  <c r="H8" i="144" s="1"/>
  <c r="H27" i="144" s="1"/>
  <c r="H8" i="145" s="1"/>
  <c r="H27" i="145" s="1"/>
  <c r="H8" i="146" s="1"/>
  <c r="H27" i="146" s="1"/>
  <c r="H8" i="148" s="1"/>
  <c r="H27" i="148" s="1"/>
  <c r="H8" i="147" s="1"/>
  <c r="H27" i="147" s="1"/>
  <c r="H8" i="149" s="1"/>
  <c r="H27" i="149" s="1"/>
  <c r="H8" i="150" s="1"/>
  <c r="H27" i="150" s="1"/>
  <c r="H8" i="151" s="1"/>
  <c r="H27" i="151" s="1"/>
  <c r="H8" i="152" s="1"/>
  <c r="H27" i="152" s="1"/>
  <c r="H8" i="153" s="1"/>
  <c r="H27" i="153" s="1"/>
  <c r="H8" i="154" s="1"/>
  <c r="H27" i="154" s="1"/>
  <c r="H8" i="155" s="1"/>
  <c r="H27" i="155" s="1"/>
  <c r="H8" i="156" s="1"/>
  <c r="H27" i="156" s="1"/>
  <c r="I9" i="46"/>
  <c r="I28" i="46" s="1"/>
  <c r="I9" i="210" s="1"/>
  <c r="I28" i="210" s="1"/>
  <c r="I9" i="211" s="1"/>
  <c r="I28" i="211" s="1"/>
  <c r="I9" i="212" s="1"/>
  <c r="I28" i="212" s="1"/>
  <c r="I9" i="213" s="1"/>
  <c r="I28" i="213" s="1"/>
  <c r="I9" i="214" s="1"/>
  <c r="I28" i="214" s="1"/>
  <c r="I9" i="215" s="1"/>
  <c r="I28" i="215" s="1"/>
  <c r="I9" i="216" s="1"/>
  <c r="I28" i="216" s="1"/>
  <c r="I9" i="217" s="1"/>
  <c r="I28" i="217" s="1"/>
  <c r="I9" i="218" s="1"/>
  <c r="I28" i="218" s="1"/>
  <c r="G13" i="38"/>
  <c r="J6" i="24"/>
  <c r="F9" i="46"/>
  <c r="F28" i="46" s="1"/>
  <c r="F9" i="210" s="1"/>
  <c r="F28" i="210" s="1"/>
  <c r="F9" i="211" s="1"/>
  <c r="F28" i="211" s="1"/>
  <c r="F9" i="212" s="1"/>
  <c r="F28" i="212" s="1"/>
  <c r="F9" i="213" s="1"/>
  <c r="F28" i="213" s="1"/>
  <c r="F9" i="214" s="1"/>
  <c r="F28" i="214" s="1"/>
  <c r="F9" i="215" s="1"/>
  <c r="F28" i="215" s="1"/>
  <c r="F9" i="216" s="1"/>
  <c r="F28" i="216" s="1"/>
  <c r="F9" i="217" s="1"/>
  <c r="F28" i="217" s="1"/>
  <c r="F9" i="218" s="1"/>
  <c r="F28" i="218" s="1"/>
  <c r="I30" i="36"/>
  <c r="F27" i="16"/>
  <c r="F8" i="133" s="1"/>
  <c r="F27" i="133" s="1"/>
  <c r="I18" i="58"/>
  <c r="G27" i="16"/>
  <c r="G8" i="133" s="1"/>
  <c r="G27" i="133" s="1"/>
  <c r="G8" i="134" s="1"/>
  <c r="G27" i="134" s="1"/>
  <c r="G8" i="135" s="1"/>
  <c r="G27" i="135" s="1"/>
  <c r="G8" i="136" s="1"/>
  <c r="G27" i="136" s="1"/>
  <c r="G8" i="137" s="1"/>
  <c r="G27" i="137" s="1"/>
  <c r="G8" i="138" s="1"/>
  <c r="G27" i="138" s="1"/>
  <c r="G8" i="139" s="1"/>
  <c r="G27" i="139" s="1"/>
  <c r="G8" i="140" s="1"/>
  <c r="G27" i="140" s="1"/>
  <c r="G8" i="141" s="1"/>
  <c r="G27" i="141" s="1"/>
  <c r="G8" i="142" s="1"/>
  <c r="G27" i="142" s="1"/>
  <c r="G8" i="143" s="1"/>
  <c r="G27" i="143" s="1"/>
  <c r="G8" i="144" s="1"/>
  <c r="G27" i="144" s="1"/>
  <c r="G8" i="145" s="1"/>
  <c r="G27" i="145" s="1"/>
  <c r="G8" i="146" s="1"/>
  <c r="G27" i="146" s="1"/>
  <c r="G8" i="148" s="1"/>
  <c r="G27" i="148" s="1"/>
  <c r="G8" i="147" s="1"/>
  <c r="G27" i="147" s="1"/>
  <c r="G8" i="149" s="1"/>
  <c r="G27" i="149" s="1"/>
  <c r="G8" i="150" s="1"/>
  <c r="G27" i="150" s="1"/>
  <c r="G8" i="151" s="1"/>
  <c r="G27" i="151" s="1"/>
  <c r="G8" i="152" s="1"/>
  <c r="G27" i="152" s="1"/>
  <c r="G8" i="153" s="1"/>
  <c r="G27" i="153" s="1"/>
  <c r="G8" i="154" s="1"/>
  <c r="G27" i="154" s="1"/>
  <c r="G8" i="155" s="1"/>
  <c r="G27" i="155" s="1"/>
  <c r="G8" i="156" s="1"/>
  <c r="G27" i="156" s="1"/>
  <c r="G35" i="29"/>
  <c r="G37" i="29" s="1"/>
  <c r="H27" i="17"/>
  <c r="H8" i="157" s="1"/>
  <c r="H27" i="157" s="1"/>
  <c r="H8" i="158" s="1"/>
  <c r="H27" i="158" s="1"/>
  <c r="H8" i="159" s="1"/>
  <c r="H27" i="159" s="1"/>
  <c r="H8" i="160" s="1"/>
  <c r="H27" i="160" s="1"/>
  <c r="H8" i="161" s="1"/>
  <c r="H27" i="161" s="1"/>
  <c r="H8" i="162" s="1"/>
  <c r="H27" i="162" s="1"/>
  <c r="H8" i="163" s="1"/>
  <c r="H27" i="163" s="1"/>
  <c r="H8" i="164" s="1"/>
  <c r="H27" i="164" s="1"/>
  <c r="H8" i="165" s="1"/>
  <c r="H27" i="165" s="1"/>
  <c r="H8" i="166" s="1"/>
  <c r="H27" i="166" s="1"/>
  <c r="H8" i="167" s="1"/>
  <c r="H27" i="167" s="1"/>
  <c r="H8" i="168" s="1"/>
  <c r="H27" i="168" s="1"/>
  <c r="H8" i="169" s="1"/>
  <c r="H27" i="169" s="1"/>
  <c r="H8" i="170" s="1"/>
  <c r="H27" i="170" s="1"/>
  <c r="H8" i="171" s="1"/>
  <c r="H27" i="171" s="1"/>
  <c r="H8" i="172" s="1"/>
  <c r="H27" i="172" s="1"/>
  <c r="H8" i="173" s="1"/>
  <c r="H27" i="173" s="1"/>
  <c r="H8" i="174" s="1"/>
  <c r="H27" i="174" s="1"/>
  <c r="H8" i="175" s="1"/>
  <c r="H27" i="175" s="1"/>
  <c r="H8" i="176" s="1"/>
  <c r="H27" i="176" s="1"/>
  <c r="H8" i="177" s="1"/>
  <c r="H27" i="177" s="1"/>
  <c r="H8" i="178" s="1"/>
  <c r="H27" i="178" s="1"/>
  <c r="H8" i="179" s="1"/>
  <c r="H27" i="179" s="1"/>
  <c r="H8" i="180" s="1"/>
  <c r="H27" i="180" s="1"/>
  <c r="H8" i="181" s="1"/>
  <c r="H27" i="181" s="1"/>
  <c r="H8" i="182" s="1"/>
  <c r="H27" i="182" s="1"/>
  <c r="H8" i="183" s="1"/>
  <c r="H27" i="183" s="1"/>
  <c r="H8" i="184" s="1"/>
  <c r="H27" i="184" s="1"/>
  <c r="H8" i="185" s="1"/>
  <c r="H27" i="185" s="1"/>
  <c r="H8" i="186" s="1"/>
  <c r="H27" i="186" s="1"/>
  <c r="H8" i="187" s="1"/>
  <c r="H27" i="187" s="1"/>
  <c r="H8" i="188" s="1"/>
  <c r="H27" i="188" s="1"/>
  <c r="H8" i="189" s="1"/>
  <c r="H27" i="189" s="1"/>
  <c r="H8" i="190" s="1"/>
  <c r="H27" i="190" s="1"/>
  <c r="H8" i="191" s="1"/>
  <c r="H27" i="191" s="1"/>
  <c r="H8" i="192" s="1"/>
  <c r="H27" i="192" s="1"/>
  <c r="H8" i="193" s="1"/>
  <c r="H27" i="193" s="1"/>
  <c r="H8" i="194" s="1"/>
  <c r="H27" i="194" s="1"/>
  <c r="H8" i="195" s="1"/>
  <c r="H27" i="195" s="1"/>
  <c r="H8" i="196" s="1"/>
  <c r="H27" i="196" s="1"/>
  <c r="G35" i="12"/>
  <c r="N12" i="48"/>
  <c r="N14" i="48" s="1"/>
  <c r="P59" i="48"/>
  <c r="M20" i="36"/>
  <c r="G11" i="4"/>
  <c r="I35" i="12"/>
  <c r="K23" i="43"/>
  <c r="K9" i="208" s="1"/>
  <c r="K23" i="208" s="1"/>
  <c r="K9" i="209" s="1"/>
  <c r="K23" i="209" s="1"/>
  <c r="L24" i="40"/>
  <c r="G39" i="4" s="1"/>
  <c r="J15" i="24"/>
  <c r="K20" i="36"/>
  <c r="G19" i="20"/>
  <c r="L28" i="45"/>
  <c r="L9" i="46" s="1"/>
  <c r="L28" i="46" s="1"/>
  <c r="L9" i="210" s="1"/>
  <c r="L28" i="210" s="1"/>
  <c r="L9" i="211" s="1"/>
  <c r="L28" i="211" s="1"/>
  <c r="L9" i="212" s="1"/>
  <c r="L28" i="212" s="1"/>
  <c r="L9" i="213" s="1"/>
  <c r="L28" i="213" s="1"/>
  <c r="L9" i="214" s="1"/>
  <c r="L28" i="214" s="1"/>
  <c r="L9" i="215" s="1"/>
  <c r="L28" i="215" s="1"/>
  <c r="L9" i="216" s="1"/>
  <c r="L28" i="216" s="1"/>
  <c r="L9" i="217" s="1"/>
  <c r="L28" i="217" s="1"/>
  <c r="L9" i="218" s="1"/>
  <c r="L28" i="218" s="1"/>
  <c r="H34" i="305" s="1"/>
  <c r="I38" i="22"/>
  <c r="I43" i="28"/>
  <c r="I10" i="200" s="1"/>
  <c r="I43" i="200" s="1"/>
  <c r="I10" i="201" s="1"/>
  <c r="I43" i="201" s="1"/>
  <c r="I10" i="202" s="1"/>
  <c r="I43" i="202" s="1"/>
  <c r="I10" i="203" s="1"/>
  <c r="I43" i="203" s="1"/>
  <c r="K27" i="19"/>
  <c r="K8" i="197" s="1"/>
  <c r="K27" i="197" s="1"/>
  <c r="K8" i="198" s="1"/>
  <c r="K27" i="198" s="1"/>
  <c r="K8" i="199" s="1"/>
  <c r="K27" i="199" s="1"/>
  <c r="H34" i="7" s="1"/>
  <c r="I11" i="24"/>
  <c r="H14" i="24"/>
  <c r="M48" i="97"/>
  <c r="M10" i="122" s="1"/>
  <c r="M48" i="122" s="1"/>
  <c r="M10" i="129" s="1"/>
  <c r="M48" i="129" s="1"/>
  <c r="M10" i="130" s="1"/>
  <c r="M48" i="130" s="1"/>
  <c r="M10" i="131" s="1"/>
  <c r="M48" i="131" s="1"/>
  <c r="I23" i="29"/>
  <c r="G28" i="46"/>
  <c r="G9" i="210" s="1"/>
  <c r="G28" i="210" s="1"/>
  <c r="G9" i="211" s="1"/>
  <c r="G28" i="211" s="1"/>
  <c r="G9" i="212" s="1"/>
  <c r="G28" i="212" s="1"/>
  <c r="G9" i="213" s="1"/>
  <c r="G28" i="213" s="1"/>
  <c r="G9" i="214" s="1"/>
  <c r="G28" i="214" s="1"/>
  <c r="G9" i="215" s="1"/>
  <c r="G28" i="215" s="1"/>
  <c r="G9" i="216" s="1"/>
  <c r="G28" i="216" s="1"/>
  <c r="G9" i="217" s="1"/>
  <c r="G28" i="217" s="1"/>
  <c r="G9" i="218" s="1"/>
  <c r="G28" i="218" s="1"/>
  <c r="I48" i="51"/>
  <c r="B73" i="380"/>
  <c r="I31" i="50" l="1"/>
  <c r="I47" i="381"/>
  <c r="A75" i="380"/>
  <c r="I39" i="22"/>
  <c r="H27" i="1"/>
  <c r="H44" i="1" s="1"/>
  <c r="H21" i="305"/>
  <c r="C52" i="121"/>
  <c r="I16" i="51"/>
  <c r="H9" i="213"/>
  <c r="H28" i="213" s="1"/>
  <c r="H9" i="214" s="1"/>
  <c r="H28" i="214" s="1"/>
  <c r="H9" i="215" s="1"/>
  <c r="H28" i="215" s="1"/>
  <c r="H9" i="216" s="1"/>
  <c r="H28" i="216" s="1"/>
  <c r="H9" i="217" s="1"/>
  <c r="H28" i="217" s="1"/>
  <c r="H9" i="218" s="1"/>
  <c r="H28" i="218" s="1"/>
  <c r="H32" i="31"/>
  <c r="I12" i="31"/>
  <c r="L30" i="30"/>
  <c r="L32" i="30" s="1"/>
  <c r="F8" i="134"/>
  <c r="F27" i="134" s="1"/>
  <c r="L57" i="48"/>
  <c r="P57" i="48" s="1"/>
  <c r="H22" i="24"/>
  <c r="J6" i="27" s="1"/>
  <c r="J8" i="27" s="1"/>
  <c r="J10" i="27" s="1"/>
  <c r="J12" i="27" s="1"/>
  <c r="J18" i="27" s="1"/>
  <c r="P29" i="102"/>
  <c r="L35" i="40"/>
  <c r="G21" i="4"/>
  <c r="L23" i="26"/>
  <c r="C11" i="121" s="1"/>
  <c r="K21" i="36"/>
  <c r="H35" i="36" s="1"/>
  <c r="P55" i="48"/>
  <c r="G44" i="11"/>
  <c r="G9" i="305" s="1"/>
  <c r="J48" i="51"/>
  <c r="J47" i="381" s="1"/>
  <c r="J23" i="29"/>
  <c r="J11" i="24"/>
  <c r="K28" i="46"/>
  <c r="K9" i="210" s="1"/>
  <c r="K28" i="210" s="1"/>
  <c r="K9" i="211" s="1"/>
  <c r="K28" i="211" s="1"/>
  <c r="K9" i="212" s="1"/>
  <c r="K28" i="212" s="1"/>
  <c r="K9" i="213" s="1"/>
  <c r="K28" i="213" s="1"/>
  <c r="K9" i="214" s="1"/>
  <c r="K28" i="214" s="1"/>
  <c r="K9" i="215" s="1"/>
  <c r="K28" i="215" s="1"/>
  <c r="K9" i="216" s="1"/>
  <c r="K28" i="216" s="1"/>
  <c r="K9" i="217" s="1"/>
  <c r="K28" i="217" s="1"/>
  <c r="K9" i="218" s="1"/>
  <c r="K28" i="218" s="1"/>
  <c r="H33" i="305" s="1"/>
  <c r="B74" i="380"/>
  <c r="A76" i="380" l="1"/>
  <c r="H38" i="30"/>
  <c r="C36" i="121" s="1"/>
  <c r="K16" i="35"/>
  <c r="K18" i="35" s="1"/>
  <c r="K22" i="35" s="1"/>
  <c r="K37" i="35"/>
  <c r="N34" i="30"/>
  <c r="N35" i="30" s="1"/>
  <c r="K27" i="36" s="1"/>
  <c r="I29" i="36" s="1"/>
  <c r="L45" i="30"/>
  <c r="L48" i="30" s="1"/>
  <c r="J29" i="24" s="1"/>
  <c r="I41" i="24" s="1"/>
  <c r="I21" i="24" s="1"/>
  <c r="L13" i="48"/>
  <c r="K8" i="133"/>
  <c r="K27" i="133" s="1"/>
  <c r="F8" i="135"/>
  <c r="F27" i="135" s="1"/>
  <c r="L26" i="26"/>
  <c r="I15" i="31"/>
  <c r="J10" i="24"/>
  <c r="J14" i="24" s="1"/>
  <c r="I14" i="24"/>
  <c r="C32" i="121" s="1"/>
  <c r="K31" i="26"/>
  <c r="L38" i="26" s="1"/>
  <c r="B75" i="380"/>
  <c r="H31" i="31" l="1"/>
  <c r="I11" i="31"/>
  <c r="A77" i="380"/>
  <c r="K39" i="35"/>
  <c r="K43" i="35" s="1"/>
  <c r="I52" i="24"/>
  <c r="F19" i="4"/>
  <c r="F8" i="136"/>
  <c r="F27" i="136" s="1"/>
  <c r="K8" i="134"/>
  <c r="K27" i="134" s="1"/>
  <c r="K31" i="133"/>
  <c r="K29" i="133"/>
  <c r="I44" i="24"/>
  <c r="K31" i="36"/>
  <c r="H39" i="305"/>
  <c r="B76" i="380"/>
  <c r="A78" i="380" l="1"/>
  <c r="J21" i="24"/>
  <c r="I14" i="31" s="1"/>
  <c r="C30" i="121"/>
  <c r="J40" i="24"/>
  <c r="J44" i="24" s="1"/>
  <c r="K8" i="135"/>
  <c r="K27" i="135" s="1"/>
  <c r="K31" i="134"/>
  <c r="K29" i="134"/>
  <c r="F8" i="137"/>
  <c r="F27" i="137" s="1"/>
  <c r="I22" i="24"/>
  <c r="C24" i="121" s="1"/>
  <c r="H36" i="7"/>
  <c r="F18" i="4"/>
  <c r="M28" i="36"/>
  <c r="C38" i="121" s="1"/>
  <c r="I32" i="50"/>
  <c r="B77" i="380"/>
  <c r="A79" i="380" l="1"/>
  <c r="J22" i="24"/>
  <c r="H34" i="31"/>
  <c r="J44" i="31" s="1"/>
  <c r="I43" i="31" s="1"/>
  <c r="I45" i="31" s="1"/>
  <c r="F8" i="138"/>
  <c r="F27" i="138" s="1"/>
  <c r="K8" i="136"/>
  <c r="K27" i="136" s="1"/>
  <c r="K29" i="135"/>
  <c r="K31" i="135"/>
  <c r="M31" i="36"/>
  <c r="I37" i="36"/>
  <c r="G20" i="4"/>
  <c r="H39" i="367" s="1"/>
  <c r="H44" i="11"/>
  <c r="H9" i="305" s="1"/>
  <c r="H44" i="305" s="1"/>
  <c r="B78" i="380"/>
  <c r="A80" i="380" l="1"/>
  <c r="H44" i="31"/>
  <c r="G40" i="4"/>
  <c r="G46" i="4" s="1"/>
  <c r="K8" i="137"/>
  <c r="K27" i="137" s="1"/>
  <c r="K29" i="136"/>
  <c r="K31" i="136"/>
  <c r="F8" i="139"/>
  <c r="F27" i="139" s="1"/>
  <c r="B79" i="380"/>
  <c r="L9" i="26" l="1"/>
  <c r="H45" i="31"/>
  <c r="A81" i="380"/>
  <c r="G10" i="1"/>
  <c r="G44" i="1" s="1"/>
  <c r="C9" i="121"/>
  <c r="F8" i="140"/>
  <c r="F27" i="140" s="1"/>
  <c r="K8" i="138"/>
  <c r="K27" i="138" s="1"/>
  <c r="K29" i="137"/>
  <c r="K31" i="137"/>
  <c r="L15" i="26"/>
  <c r="K14" i="26"/>
  <c r="B80" i="380"/>
  <c r="A82" i="380" l="1"/>
  <c r="C7" i="121"/>
  <c r="H42" i="367"/>
  <c r="K8" i="139"/>
  <c r="K27" i="139" s="1"/>
  <c r="K31" i="138"/>
  <c r="K29" i="138"/>
  <c r="F8" i="141"/>
  <c r="F27" i="141" s="1"/>
  <c r="K15" i="26"/>
  <c r="B81" i="380"/>
  <c r="A83" i="380" l="1"/>
  <c r="F8" i="142"/>
  <c r="F27" i="142" s="1"/>
  <c r="K8" i="140"/>
  <c r="K27" i="140" s="1"/>
  <c r="K29" i="139"/>
  <c r="K31" i="139"/>
  <c r="B82" i="380"/>
  <c r="A84" i="380" l="1"/>
  <c r="K8" i="141"/>
  <c r="K27" i="141" s="1"/>
  <c r="K31" i="140"/>
  <c r="K29" i="140"/>
  <c r="F8" i="143"/>
  <c r="F27" i="143" s="1"/>
  <c r="B83" i="380"/>
  <c r="A85" i="380" l="1"/>
  <c r="F8" i="144"/>
  <c r="F27" i="144" s="1"/>
  <c r="K8" i="142"/>
  <c r="K27" i="142" s="1"/>
  <c r="K31" i="141"/>
  <c r="K29" i="141"/>
  <c r="H10" i="367"/>
  <c r="H25" i="367" s="1"/>
  <c r="G10" i="367"/>
  <c r="G25" i="367" s="1"/>
  <c r="G44" i="367" s="1"/>
  <c r="B84" i="380"/>
  <c r="A86" i="380" l="1"/>
  <c r="H44" i="367"/>
  <c r="L27" i="26"/>
  <c r="C17" i="121" s="1"/>
  <c r="K8" i="143"/>
  <c r="K27" i="143" s="1"/>
  <c r="K31" i="142"/>
  <c r="K29" i="142"/>
  <c r="F8" i="145"/>
  <c r="F27" i="145" s="1"/>
  <c r="F8" i="146" s="1"/>
  <c r="F27" i="146" s="1"/>
  <c r="B85" i="380"/>
  <c r="A87" i="380" l="1"/>
  <c r="L28" i="26"/>
  <c r="L8" i="109"/>
  <c r="M10" i="109" s="1"/>
  <c r="K13" i="109" s="1"/>
  <c r="K21" i="108"/>
  <c r="M33" i="108" s="1"/>
  <c r="F8" i="148"/>
  <c r="F27" i="148" s="1"/>
  <c r="K8" i="144"/>
  <c r="K27" i="144" s="1"/>
  <c r="K29" i="143"/>
  <c r="K31" i="143"/>
  <c r="B86" i="380"/>
  <c r="A88" i="380" l="1"/>
  <c r="L39" i="26"/>
  <c r="C13" i="121"/>
  <c r="K38" i="108"/>
  <c r="J41" i="108" s="1"/>
  <c r="K33" i="108"/>
  <c r="J36" i="108" s="1"/>
  <c r="F8" i="147"/>
  <c r="F27" i="147" s="1"/>
  <c r="K8" i="145"/>
  <c r="K27" i="145" s="1"/>
  <c r="K8" i="146" s="1"/>
  <c r="K27" i="146" s="1"/>
  <c r="K8" i="148" s="1"/>
  <c r="K27" i="148" s="1"/>
  <c r="K8" i="147" s="1"/>
  <c r="K27" i="147" s="1"/>
  <c r="K8" i="149" s="1"/>
  <c r="K27" i="149" s="1"/>
  <c r="K8" i="150" s="1"/>
  <c r="K27" i="150" s="1"/>
  <c r="K8" i="151" s="1"/>
  <c r="K27" i="151" s="1"/>
  <c r="K8" i="152" s="1"/>
  <c r="K27" i="152" s="1"/>
  <c r="K8" i="153" s="1"/>
  <c r="K27" i="153" s="1"/>
  <c r="K8" i="154" s="1"/>
  <c r="K27" i="154" s="1"/>
  <c r="K8" i="155" s="1"/>
  <c r="K27" i="155" s="1"/>
  <c r="K8" i="156" s="1"/>
  <c r="K27" i="156" s="1"/>
  <c r="G11" i="7" s="1"/>
  <c r="G36" i="7" s="1"/>
  <c r="K31" i="144"/>
  <c r="K29" i="144"/>
  <c r="L12" i="109"/>
  <c r="L14" i="109" s="1"/>
  <c r="B87" i="380"/>
  <c r="A89" i="380" l="1"/>
  <c r="F8" i="149"/>
  <c r="F27" i="149" s="1"/>
  <c r="K14" i="109"/>
  <c r="M14" i="109" s="1"/>
  <c r="L22" i="109"/>
  <c r="K27" i="109" s="1"/>
  <c r="B88" i="380"/>
  <c r="A90" i="380" l="1"/>
  <c r="F8" i="150"/>
  <c r="F27" i="150" s="1"/>
  <c r="K28" i="109"/>
  <c r="L28" i="109"/>
  <c r="B89" i="380"/>
  <c r="A91" i="380" l="1"/>
  <c r="F8" i="151"/>
  <c r="F27" i="151" s="1"/>
  <c r="H42" i="103"/>
  <c r="H44" i="103" s="1"/>
  <c r="B90" i="380"/>
  <c r="A92" i="380" l="1"/>
  <c r="F8" i="152"/>
  <c r="F27" i="152" s="1"/>
  <c r="F8" i="153" s="1"/>
  <c r="F27" i="153" s="1"/>
  <c r="F8" i="154" s="1"/>
  <c r="F27" i="154" s="1"/>
  <c r="F8" i="155" s="1"/>
  <c r="F27" i="155" s="1"/>
  <c r="F8" i="156" s="1"/>
  <c r="F27" i="156" s="1"/>
  <c r="H57" i="103"/>
  <c r="J44" i="103"/>
  <c r="I27" i="145"/>
  <c r="B91" i="380"/>
  <c r="A93" i="380" l="1"/>
  <c r="K31" i="145"/>
  <c r="I8" i="146"/>
  <c r="I27" i="146" s="1"/>
  <c r="K29" i="145"/>
  <c r="J43" i="200"/>
  <c r="J10" i="201" s="1"/>
  <c r="J43" i="201" s="1"/>
  <c r="J10" i="202" s="1"/>
  <c r="J43" i="202" s="1"/>
  <c r="J10" i="203" s="1"/>
  <c r="J43" i="203" s="1"/>
  <c r="B92" i="380"/>
  <c r="A94" i="380" l="1"/>
  <c r="I8" i="148"/>
  <c r="I27" i="148" s="1"/>
  <c r="K31" i="146"/>
  <c r="K29" i="146"/>
  <c r="B93" i="380"/>
  <c r="A95" i="380" l="1"/>
  <c r="I8" i="147"/>
  <c r="I27" i="147" s="1"/>
  <c r="K29" i="148"/>
  <c r="K31" i="148"/>
  <c r="B94" i="380"/>
  <c r="A96" i="380" l="1"/>
  <c r="I8" i="149"/>
  <c r="I27" i="149" s="1"/>
  <c r="K31" i="147"/>
  <c r="K29" i="147"/>
  <c r="B95" i="380"/>
  <c r="A97" i="380" l="1"/>
  <c r="I8" i="150"/>
  <c r="I27" i="150" s="1"/>
  <c r="K31" i="149"/>
  <c r="K29" i="149"/>
  <c r="B96" i="380"/>
  <c r="A98" i="380" l="1"/>
  <c r="I8" i="151"/>
  <c r="I27" i="151" s="1"/>
  <c r="K31" i="150"/>
  <c r="K29" i="150"/>
  <c r="B97" i="380"/>
  <c r="A99" i="380" l="1"/>
  <c r="I8" i="152"/>
  <c r="I27" i="152" s="1"/>
  <c r="I8" i="153" s="1"/>
  <c r="I27" i="153" s="1"/>
  <c r="I8" i="154" s="1"/>
  <c r="I27" i="154" s="1"/>
  <c r="I8" i="155" s="1"/>
  <c r="I27" i="155" s="1"/>
  <c r="I8" i="156" s="1"/>
  <c r="I27" i="156" s="1"/>
  <c r="K31" i="151"/>
  <c r="K29" i="151"/>
  <c r="E27" i="332"/>
  <c r="E9" i="333" s="1"/>
  <c r="E27" i="333" s="1"/>
  <c r="E9" i="335" s="1"/>
  <c r="E27" i="335" s="1"/>
  <c r="G44" i="305"/>
  <c r="B98" i="380"/>
  <c r="A100" i="380" l="1"/>
  <c r="L8" i="226"/>
  <c r="K21" i="225"/>
  <c r="M33" i="225" s="1"/>
  <c r="K38" i="225" s="1"/>
  <c r="J41" i="225" s="1"/>
  <c r="B99" i="380"/>
  <c r="A101" i="380" l="1"/>
  <c r="M10" i="226"/>
  <c r="K33" i="225"/>
  <c r="J36" i="225" s="1"/>
  <c r="B100" i="380"/>
  <c r="A102" i="380" l="1"/>
  <c r="K13" i="226"/>
  <c r="L12" i="226"/>
  <c r="L14" i="226" s="1"/>
  <c r="B101" i="380"/>
  <c r="A103" i="380" l="1"/>
  <c r="L22" i="226"/>
  <c r="K14" i="226"/>
  <c r="M14" i="226" s="1"/>
  <c r="B102" i="380"/>
  <c r="A104" i="380" l="1"/>
  <c r="L28" i="226"/>
  <c r="K27" i="226"/>
  <c r="B103" i="380"/>
  <c r="A105" i="380" l="1"/>
  <c r="H42" i="220"/>
  <c r="H44" i="220" s="1"/>
  <c r="K28" i="226"/>
  <c r="B104" i="380"/>
  <c r="A106" i="380" l="1"/>
  <c r="J44" i="220"/>
  <c r="H57" i="220"/>
  <c r="L8" i="238"/>
  <c r="K21" i="237"/>
  <c r="M33" i="237" s="1"/>
  <c r="B105" i="380"/>
  <c r="A107" i="380" l="1"/>
  <c r="K38" i="237"/>
  <c r="J41" i="237" s="1"/>
  <c r="K33" i="237"/>
  <c r="J36" i="237" s="1"/>
  <c r="M10" i="238"/>
  <c r="B106" i="380"/>
  <c r="A108" i="380" l="1"/>
  <c r="K13" i="238"/>
  <c r="L12" i="238"/>
  <c r="L14" i="238" s="1"/>
  <c r="B107" i="380"/>
  <c r="A109" i="380" l="1"/>
  <c r="L22" i="238"/>
  <c r="K14" i="238"/>
  <c r="M14" i="238" s="1"/>
  <c r="B108" i="380"/>
  <c r="A110" i="380" l="1"/>
  <c r="L28" i="238"/>
  <c r="K27" i="238"/>
  <c r="B109" i="380"/>
  <c r="A111" i="380" l="1"/>
  <c r="H42" i="232"/>
  <c r="H44" i="232" s="1"/>
  <c r="K28" i="238"/>
  <c r="B110" i="380"/>
  <c r="A112" i="380" l="1"/>
  <c r="H57" i="232"/>
  <c r="J44" i="232"/>
  <c r="L8" i="250"/>
  <c r="K21" i="249"/>
  <c r="M33" i="249" s="1"/>
  <c r="B111" i="380"/>
  <c r="A113" i="380" l="1"/>
  <c r="K33" i="249"/>
  <c r="J36" i="249" s="1"/>
  <c r="K38" i="249"/>
  <c r="J41" i="249" s="1"/>
  <c r="M10" i="250"/>
  <c r="B112" i="380"/>
  <c r="A114" i="380" l="1"/>
  <c r="K13" i="250"/>
  <c r="L12" i="250"/>
  <c r="L14" i="250" s="1"/>
  <c r="B113" i="380"/>
  <c r="A115" i="380" l="1"/>
  <c r="K14" i="250"/>
  <c r="M14" i="250" s="1"/>
  <c r="L22" i="250"/>
  <c r="B114" i="380"/>
  <c r="A116" i="380" l="1"/>
  <c r="K27" i="250"/>
  <c r="L28" i="250"/>
  <c r="B115" i="380"/>
  <c r="A117" i="380" l="1"/>
  <c r="K28" i="250"/>
  <c r="H42" i="244"/>
  <c r="H44" i="244" s="1"/>
  <c r="B116" i="380"/>
  <c r="A118" i="380" l="1"/>
  <c r="H57" i="244"/>
  <c r="J44" i="244"/>
  <c r="L8" i="262"/>
  <c r="K21" i="261"/>
  <c r="M33" i="261" s="1"/>
  <c r="B117" i="380"/>
  <c r="A119" i="380" l="1"/>
  <c r="M10" i="262"/>
  <c r="K33" i="261"/>
  <c r="J36" i="261" s="1"/>
  <c r="K38" i="261"/>
  <c r="J41" i="261" s="1"/>
  <c r="B118" i="380"/>
  <c r="A120" i="380" l="1"/>
  <c r="K13" i="262"/>
  <c r="L12" i="262"/>
  <c r="L14" i="262" s="1"/>
  <c r="B119" i="380"/>
  <c r="A121" i="380" l="1"/>
  <c r="L22" i="262"/>
  <c r="K14" i="262"/>
  <c r="M14" i="262" s="1"/>
  <c r="B120" i="380"/>
  <c r="A122" i="380" l="1"/>
  <c r="L28" i="262"/>
  <c r="K27" i="262"/>
  <c r="B121" i="380"/>
  <c r="A123" i="380" l="1"/>
  <c r="H42" i="256"/>
  <c r="H44" i="256" s="1"/>
  <c r="K28" i="262"/>
  <c r="B122" i="380"/>
  <c r="A124" i="380" l="1"/>
  <c r="H57" i="256"/>
  <c r="J44" i="256"/>
  <c r="L8" i="273"/>
  <c r="K21" i="272"/>
  <c r="M33" i="272" s="1"/>
  <c r="B123" i="380"/>
  <c r="A125" i="380" l="1"/>
  <c r="M10" i="273"/>
  <c r="K38" i="272"/>
  <c r="J41" i="272" s="1"/>
  <c r="K33" i="272"/>
  <c r="J36" i="272" s="1"/>
  <c r="B124" i="380"/>
  <c r="A126" i="380" l="1"/>
  <c r="K13" i="273"/>
  <c r="L12" i="273"/>
  <c r="L14" i="273" s="1"/>
  <c r="B125" i="380"/>
  <c r="A127" i="380" l="1"/>
  <c r="L22" i="273"/>
  <c r="K14" i="273"/>
  <c r="M14" i="273" s="1"/>
  <c r="B126" i="380"/>
  <c r="A128" i="380" l="1"/>
  <c r="K27" i="273"/>
  <c r="L28" i="273"/>
  <c r="B127" i="380"/>
  <c r="A129" i="380" l="1"/>
  <c r="H42" i="268"/>
  <c r="H44" i="268" s="1"/>
  <c r="K28" i="273"/>
  <c r="B128" i="380"/>
  <c r="A130" i="380" l="1"/>
  <c r="J44" i="268"/>
  <c r="H57" i="268"/>
  <c r="B129" i="380"/>
  <c r="A131" i="380" l="1"/>
  <c r="B130" i="380"/>
  <c r="A132" i="380" l="1"/>
  <c r="B131" i="380"/>
  <c r="A133" i="380" l="1"/>
  <c r="B132" i="380"/>
  <c r="A134" i="380" l="1"/>
  <c r="B133" i="380"/>
  <c r="A135" i="380" l="1"/>
  <c r="B134" i="380"/>
  <c r="A136" i="380" l="1"/>
  <c r="B135" i="380"/>
  <c r="A137" i="380" l="1"/>
  <c r="B136" i="380"/>
  <c r="A138" i="380" l="1"/>
  <c r="B137" i="380"/>
  <c r="A139" i="380" l="1"/>
  <c r="B138" i="380"/>
  <c r="A140" i="380" l="1"/>
  <c r="B139" i="380"/>
  <c r="A141" i="380" l="1"/>
  <c r="B140" i="380"/>
  <c r="A142" i="380" l="1"/>
  <c r="B141" i="380"/>
  <c r="A143" i="380" l="1"/>
  <c r="B142" i="380"/>
  <c r="A144" i="380" l="1"/>
  <c r="B143" i="380"/>
  <c r="A145" i="380" l="1"/>
  <c r="B144" i="380"/>
  <c r="A146" i="380" l="1"/>
  <c r="B145" i="380"/>
  <c r="A147" i="380" l="1"/>
  <c r="B146" i="380"/>
  <c r="A148" i="380" l="1"/>
  <c r="B147" i="380"/>
  <c r="A149" i="380" l="1"/>
  <c r="B148" i="380"/>
  <c r="A150" i="380" l="1"/>
  <c r="B149" i="380"/>
  <c r="A151" i="380" l="1"/>
  <c r="B150" i="380"/>
  <c r="A152" i="380" l="1"/>
  <c r="B151" i="380"/>
  <c r="A153" i="380" l="1"/>
  <c r="B152" i="380"/>
  <c r="A154" i="380" l="1"/>
  <c r="B153" i="380"/>
  <c r="A155" i="380" l="1"/>
  <c r="B154" i="380"/>
  <c r="A156" i="380" l="1"/>
  <c r="B155" i="380"/>
  <c r="A157" i="380" l="1"/>
  <c r="B156" i="380"/>
  <c r="A158" i="380" l="1"/>
  <c r="B157" i="380"/>
  <c r="A159" i="380" l="1"/>
  <c r="B158" i="380"/>
  <c r="A160" i="380" l="1"/>
  <c r="B159" i="380"/>
  <c r="A161" i="380" l="1"/>
  <c r="B160" i="380"/>
  <c r="A162" i="380" l="1"/>
  <c r="B161" i="380"/>
  <c r="A163" i="380" l="1"/>
  <c r="B162" i="380"/>
  <c r="A164" i="380" l="1"/>
  <c r="B163" i="380"/>
  <c r="A165" i="380" l="1"/>
  <c r="B164" i="380"/>
  <c r="A166" i="380" l="1"/>
  <c r="B165" i="380"/>
  <c r="A167" i="380" l="1"/>
  <c r="B166" i="380"/>
  <c r="A168" i="380" l="1"/>
  <c r="B167" i="380"/>
  <c r="A169" i="380" l="1"/>
  <c r="B168" i="380"/>
  <c r="A170" i="380" l="1"/>
  <c r="B169" i="380"/>
  <c r="A171" i="380" l="1"/>
  <c r="B170" i="380"/>
  <c r="A172" i="380" l="1"/>
  <c r="B171" i="380"/>
  <c r="A173" i="380" l="1"/>
  <c r="B172" i="380"/>
  <c r="A174" i="380" l="1"/>
  <c r="B173" i="380"/>
  <c r="A175" i="380" l="1"/>
  <c r="B174" i="380"/>
  <c r="A176" i="380" l="1"/>
  <c r="B175" i="380"/>
  <c r="A177" i="380" l="1"/>
  <c r="B176" i="380"/>
  <c r="A178" i="380" l="1"/>
  <c r="B177" i="380"/>
  <c r="A179" i="380" l="1"/>
  <c r="B178" i="380"/>
  <c r="A180" i="380" l="1"/>
  <c r="B179" i="380"/>
  <c r="A181" i="380" l="1"/>
  <c r="B180" i="380"/>
  <c r="B181" i="380"/>
  <c r="A182" i="380" l="1"/>
  <c r="B182" i="380"/>
  <c r="A183" i="380" l="1"/>
  <c r="B183" i="380"/>
  <c r="A184" i="380" l="1"/>
  <c r="A185" i="380" l="1"/>
  <c r="B184" i="380"/>
  <c r="A186" i="380" l="1"/>
  <c r="B185" i="380"/>
  <c r="A187" i="380" l="1"/>
  <c r="B186" i="380"/>
  <c r="A188" i="380" l="1"/>
  <c r="B187" i="380"/>
  <c r="A189" i="380" l="1"/>
  <c r="B188" i="380"/>
  <c r="A190" i="380" l="1"/>
  <c r="B189" i="380"/>
  <c r="A191" i="380" l="1"/>
  <c r="B190" i="380"/>
  <c r="A192" i="380" l="1"/>
  <c r="B191" i="380"/>
  <c r="A193" i="380" l="1"/>
  <c r="B192" i="380"/>
  <c r="A194" i="380" l="1"/>
  <c r="B193" i="380"/>
  <c r="A195" i="380" l="1"/>
  <c r="B194" i="380"/>
  <c r="A196" i="380" l="1"/>
  <c r="B195" i="380"/>
  <c r="A197" i="380" l="1"/>
  <c r="B196" i="380"/>
  <c r="A198" i="380" l="1"/>
  <c r="B197" i="380"/>
  <c r="A199" i="380" l="1"/>
  <c r="B198" i="380"/>
  <c r="A200" i="380" l="1"/>
  <c r="B199" i="380"/>
  <c r="A201" i="380" l="1"/>
  <c r="B200" i="380"/>
  <c r="A202" i="380" l="1"/>
  <c r="B201" i="380"/>
  <c r="A203" i="380" l="1"/>
  <c r="B202" i="380"/>
  <c r="A204" i="380" l="1"/>
  <c r="B203" i="380"/>
  <c r="A205" i="380" l="1"/>
  <c r="B204" i="380"/>
  <c r="A206" i="380" l="1"/>
  <c r="B205" i="380"/>
  <c r="A207" i="380" l="1"/>
  <c r="B206" i="380"/>
  <c r="A208" i="380" l="1"/>
  <c r="B207" i="380"/>
  <c r="A209" i="380" l="1"/>
  <c r="B208" i="380"/>
  <c r="A210" i="380" l="1"/>
  <c r="B209" i="380"/>
  <c r="A211" i="380" l="1"/>
  <c r="B210" i="380"/>
  <c r="A212" i="380" l="1"/>
  <c r="B211" i="380"/>
  <c r="A213" i="380" l="1"/>
  <c r="B212" i="380"/>
  <c r="A214" i="380" l="1"/>
  <c r="B213" i="380"/>
  <c r="A215" i="380" l="1"/>
  <c r="B214" i="380"/>
  <c r="A216" i="380" l="1"/>
  <c r="B215" i="380"/>
  <c r="A217" i="380" l="1"/>
  <c r="B216" i="380"/>
  <c r="A218" i="380" l="1"/>
  <c r="B217" i="380"/>
  <c r="A219" i="380" l="1"/>
  <c r="B218" i="380"/>
  <c r="A220" i="380" l="1"/>
  <c r="B219" i="380"/>
  <c r="A221" i="380" l="1"/>
  <c r="B220" i="380"/>
  <c r="A222" i="380" l="1"/>
  <c r="B221" i="380"/>
  <c r="A223" i="380" l="1"/>
  <c r="B222" i="380"/>
  <c r="A224" i="380" l="1"/>
  <c r="B223" i="380"/>
  <c r="A225" i="380" l="1"/>
  <c r="B224" i="380"/>
  <c r="A226" i="380" l="1"/>
  <c r="B225" i="380"/>
  <c r="A227" i="380" l="1"/>
  <c r="B226" i="380"/>
  <c r="A228" i="380" l="1"/>
  <c r="B227" i="380"/>
  <c r="A229" i="380" l="1"/>
  <c r="B228" i="380"/>
  <c r="A230" i="380" l="1"/>
  <c r="B229" i="380"/>
  <c r="A231" i="380" l="1"/>
  <c r="B230" i="380"/>
  <c r="A232" i="380" l="1"/>
  <c r="B231" i="380"/>
  <c r="A233" i="380" l="1"/>
  <c r="B232" i="380"/>
  <c r="A234" i="380" l="1"/>
  <c r="B233" i="380"/>
  <c r="A235" i="380" l="1"/>
  <c r="B234" i="380"/>
  <c r="A236" i="380" l="1"/>
  <c r="B235" i="380"/>
  <c r="A237" i="380" l="1"/>
  <c r="B236" i="380"/>
  <c r="A238" i="380" l="1"/>
  <c r="B237" i="380"/>
  <c r="A239" i="380" l="1"/>
  <c r="B238" i="380"/>
  <c r="A240" i="380" l="1"/>
  <c r="B239" i="380"/>
  <c r="A241" i="380" l="1"/>
  <c r="B240" i="380"/>
  <c r="A242" i="380" l="1"/>
  <c r="B241" i="380"/>
  <c r="A243" i="380" l="1"/>
  <c r="B242" i="380"/>
  <c r="A244" i="380" l="1"/>
  <c r="B243" i="380"/>
  <c r="A245" i="380" l="1"/>
  <c r="B244" i="380"/>
  <c r="A246" i="380" l="1"/>
  <c r="B245" i="380"/>
  <c r="A247" i="380" l="1"/>
  <c r="B246" i="380"/>
  <c r="A248" i="380" l="1"/>
  <c r="B247" i="380"/>
  <c r="A249" i="380" l="1"/>
  <c r="B248" i="380"/>
  <c r="A250" i="380" l="1"/>
  <c r="B249" i="380"/>
  <c r="A251" i="380" l="1"/>
  <c r="B250" i="380"/>
  <c r="A252" i="380" l="1"/>
  <c r="B251" i="380"/>
  <c r="A253" i="380" l="1"/>
  <c r="B252" i="380"/>
  <c r="A254" i="380" l="1"/>
  <c r="B253" i="380"/>
  <c r="A255" i="380" l="1"/>
  <c r="B254" i="380"/>
  <c r="A256" i="380" l="1"/>
  <c r="B255" i="380"/>
  <c r="A257" i="380" l="1"/>
  <c r="B256" i="380"/>
  <c r="A258" i="380" l="1"/>
  <c r="B257" i="380"/>
  <c r="A259" i="380" l="1"/>
  <c r="B258" i="380"/>
  <c r="A260" i="380" l="1"/>
  <c r="B259" i="380"/>
  <c r="A261" i="380" l="1"/>
  <c r="B260" i="380"/>
  <c r="A262" i="380" l="1"/>
  <c r="B261" i="380"/>
  <c r="A263" i="380" l="1"/>
  <c r="B262" i="380"/>
  <c r="A264" i="380" l="1"/>
  <c r="B263" i="380"/>
  <c r="A265" i="380" l="1"/>
  <c r="B264" i="380"/>
  <c r="A266" i="380" l="1"/>
  <c r="B265" i="380"/>
  <c r="A267" i="380" l="1"/>
  <c r="B266" i="380"/>
  <c r="A268" i="380" l="1"/>
  <c r="B267" i="380"/>
  <c r="A269" i="380" l="1"/>
  <c r="B268" i="380"/>
  <c r="A270" i="380" l="1"/>
  <c r="B269" i="380"/>
  <c r="A271" i="380" l="1"/>
  <c r="B270" i="380"/>
  <c r="A272" i="380" l="1"/>
  <c r="B271" i="380"/>
  <c r="A273" i="380" l="1"/>
  <c r="B272" i="380"/>
  <c r="A274" i="380" l="1"/>
  <c r="B273" i="380"/>
  <c r="A275" i="380" l="1"/>
  <c r="B274" i="380"/>
  <c r="A276" i="380" l="1"/>
  <c r="B275" i="380"/>
  <c r="A277" i="380" l="1"/>
  <c r="B276" i="380"/>
  <c r="A278" i="380" l="1"/>
  <c r="B277" i="380"/>
  <c r="A279" i="380" l="1"/>
  <c r="B278" i="380"/>
  <c r="A280" i="380" l="1"/>
  <c r="B279" i="380"/>
  <c r="A281" i="380" l="1"/>
  <c r="B280" i="380"/>
  <c r="A282" i="380" l="1"/>
  <c r="B281" i="380"/>
  <c r="A283" i="380" l="1"/>
  <c r="B282" i="380"/>
  <c r="A284" i="380" l="1"/>
  <c r="B283" i="380"/>
  <c r="A285" i="380" l="1"/>
  <c r="B284" i="380"/>
  <c r="A286" i="380" l="1"/>
  <c r="B285" i="380"/>
  <c r="A287" i="380" l="1"/>
  <c r="B286" i="380"/>
  <c r="A288" i="380" l="1"/>
  <c r="B287" i="380"/>
  <c r="A289" i="380" l="1"/>
  <c r="B288" i="380"/>
  <c r="A290" i="380" l="1"/>
  <c r="B289" i="380"/>
  <c r="A291" i="380" l="1"/>
  <c r="B290" i="380"/>
  <c r="A292" i="380" l="1"/>
  <c r="B291" i="380"/>
  <c r="A293" i="380" l="1"/>
  <c r="B292" i="380"/>
  <c r="A294" i="380" l="1"/>
  <c r="B293" i="380"/>
  <c r="A295" i="380" l="1"/>
  <c r="B294" i="380"/>
  <c r="A296" i="380" l="1"/>
  <c r="B295" i="380"/>
  <c r="A297" i="380" l="1"/>
  <c r="B296" i="380"/>
  <c r="A298" i="380" l="1"/>
  <c r="B297" i="380"/>
  <c r="A299" i="380" l="1"/>
  <c r="B298" i="380"/>
  <c r="A300" i="380" l="1"/>
  <c r="B299" i="380"/>
  <c r="A301" i="380" l="1"/>
  <c r="B300" i="380"/>
  <c r="A302" i="380" l="1"/>
  <c r="B301" i="380"/>
  <c r="A303" i="380" l="1"/>
  <c r="B302" i="380"/>
  <c r="A304" i="380" l="1"/>
  <c r="B303" i="380"/>
  <c r="A305" i="380" l="1"/>
  <c r="B304" i="380"/>
  <c r="A306" i="380" l="1"/>
  <c r="B305" i="380"/>
  <c r="B306" i="380"/>
</calcChain>
</file>

<file path=xl/sharedStrings.xml><?xml version="1.0" encoding="utf-8"?>
<sst xmlns="http://schemas.openxmlformats.org/spreadsheetml/2006/main" count="13647" uniqueCount="3815">
  <si>
    <t>and outstanding for such purposes, together with such emergency notes, may be omitted from this analysis.</t>
  </si>
  <si>
    <t>Note A:</t>
  </si>
  <si>
    <t>In showing the above percentage the following should be noted:</t>
  </si>
  <si>
    <t>Where Item 5 shows $1,500,000.00, and Item 10 shows $1,049,977.50,</t>
  </si>
  <si>
    <t>THE  REQUIRED  CERTIFICATION  BY  AN  RMA  IS  AS  FOLLOWS:</t>
  </si>
  <si>
    <t>Percentage of Collection Excluding  Tax Levy Sale Proceeds</t>
  </si>
  <si>
    <t>SCHEDULE  OF  DUE  FROM / TO  STATE  OF  NEW  JERSEY</t>
  </si>
  <si>
    <t>FOR  SENIOR  CITIZENS  AND  VETERANS  DEDUCTIONS</t>
  </si>
  <si>
    <t>Calculation of Amount to be included on Sheet 22, Item 10 -</t>
  </si>
  <si>
    <t>Sheet  23</t>
  </si>
  <si>
    <t>Line  2</t>
  </si>
  <si>
    <t>Line  3</t>
  </si>
  <si>
    <t>Line  4</t>
  </si>
  <si>
    <t>Sub - Total</t>
  </si>
  <si>
    <t>Less: Line  7</t>
  </si>
  <si>
    <t>To Item 10, Sheet 22</t>
  </si>
  <si>
    <t>License #</t>
  </si>
  <si>
    <t>Date</t>
  </si>
  <si>
    <t>Sheet  24</t>
  </si>
  <si>
    <t>N.J.  DIVISION  OF  TAXATION  APPEALS  (N.J.S.A.  54:3-27)</t>
  </si>
  <si>
    <t>SCHEDULE  OF  RESERVE  FOR  TAX  APPEALS  PENDING -</t>
  </si>
  <si>
    <t>statements annexed hereto and made a part hereof are true statements of the financial condition of the Local Unit as at</t>
  </si>
  <si>
    <t>, of the</t>
  </si>
  <si>
    <t>48 &amp; 62.</t>
  </si>
  <si>
    <t>49 &amp; 63.</t>
  </si>
  <si>
    <t>50 &amp; 64.</t>
  </si>
  <si>
    <t>51 &amp; 65.</t>
  </si>
  <si>
    <t>52 &amp; 66.</t>
  </si>
  <si>
    <t>53 &amp; 67.</t>
  </si>
  <si>
    <t>54 &amp; 68.</t>
  </si>
  <si>
    <t>Instructions</t>
  </si>
  <si>
    <t>UTILITIES  ONLY</t>
  </si>
  <si>
    <t>If no "utility fund" existed on the books of account and if no utility was</t>
  </si>
  <si>
    <t>instructions of Sheet 2.</t>
  </si>
  <si>
    <t>Sheet  40</t>
  </si>
  <si>
    <t>Bonds and Notes Authorized but Not Issued must be disclosed in this Utility Capital</t>
  </si>
  <si>
    <t>Memo: Type 1 School Notes should be separately listed and totaled.</t>
  </si>
  <si>
    <t>written intent of permanent financing submitted with statement.</t>
  </si>
  <si>
    <t>** If interest on notes is financed by ordinance, designate same, otherwise an amount must be included in this column.</t>
  </si>
  <si>
    <t>RE: UNEXPENDED BALANCES CANCELED:</t>
  </si>
  <si>
    <t>Important: If there is more than one utility in the municipality, identify each note.</t>
  </si>
  <si>
    <t>Memo:</t>
  </si>
  <si>
    <t xml:space="preserve">              of 20% of the original amount issued annually.</t>
  </si>
  <si>
    <t>* See Sheet 33 for clarifications of "Original Date of Issue".</t>
  </si>
  <si>
    <t>** If interest on note is financed by ordinance, designate same, otherwise an amount must be included in this</t>
  </si>
  <si>
    <t xml:space="preserve">              column.</t>
  </si>
  <si>
    <t>Every appropriation overexpended in the budget document must be marked with an * and must agree in the aggregate with this item.</t>
  </si>
  <si>
    <t>Are not to be shown as "Paid or Charged" in the budget document.  In all instances "Total Appropriations" and "Overexpenditures"</t>
  </si>
  <si>
    <t>must equal the sum of "Total Expenditures" and "Unexpended Balances Canceled".</t>
  </si>
  <si>
    <t>Results of Operation, Operating Surplus and Analysis</t>
  </si>
  <si>
    <t>Utility Accounts Receivable; Utility Liens</t>
  </si>
  <si>
    <t>Deferred Charges and List of Judgments-Utility</t>
  </si>
  <si>
    <t>Summary Statement of Debt Service Requirements</t>
  </si>
  <si>
    <t>to the veracity of required information included herein, needed prior to certification by the Director of Local Government</t>
  </si>
  <si>
    <t>Address</t>
  </si>
  <si>
    <t>Phone Number</t>
  </si>
  <si>
    <t>Sheet  1</t>
  </si>
  <si>
    <t>BY SAID, AT A MINIMUM MUST REVIEW THE CONTENTS OF THIS ANNUAL FINANCIAL</t>
  </si>
  <si>
    <t>SCHEDULE  OF  DELINQUENT  TAXES  AND  TAX  TITLE  LIENS</t>
  </si>
  <si>
    <t>A.</t>
  </si>
  <si>
    <t>Taxes</t>
  </si>
  <si>
    <t>B.</t>
  </si>
  <si>
    <t>Canceled:</t>
  </si>
  <si>
    <t>6 &amp; 6b.</t>
  </si>
  <si>
    <t>body prior to introduction of municipal budget</t>
  </si>
  <si>
    <t>Trial Balance-Trust Funds/ Schedule of Trust Fund Deposits and Reserves</t>
  </si>
  <si>
    <t>34 &amp; 34a.</t>
  </si>
  <si>
    <t>Debt Service for Assessment Notes/ Schedule of Capital Lease Program Obligations</t>
  </si>
  <si>
    <t>51a &amp; 65a.</t>
  </si>
  <si>
    <t>Schedule of Capital Lease Program Obligations</t>
  </si>
  <si>
    <t>(Separately Stated)</t>
  </si>
  <si>
    <t xml:space="preserve">Cash Liabilities Must Be Subtotaled and Subtotal Must Be Marked With "C" </t>
  </si>
  <si>
    <r>
      <t xml:space="preserve">There were </t>
    </r>
    <r>
      <rPr>
        <b/>
        <sz val="10"/>
        <rFont val="Arial"/>
        <family val="2"/>
      </rPr>
      <t>no "procedural deficiencies" noted</t>
    </r>
    <r>
      <rPr>
        <sz val="10"/>
        <rFont val="Arial"/>
        <family val="2"/>
      </rPr>
      <t xml:space="preserve"> by the registered municipal</t>
    </r>
  </si>
  <si>
    <r>
      <t xml:space="preserve">There was </t>
    </r>
    <r>
      <rPr>
        <b/>
        <sz val="10"/>
        <rFont val="Arial"/>
        <family val="2"/>
      </rPr>
      <t>no operating deficit</t>
    </r>
    <r>
      <rPr>
        <sz val="10"/>
        <rFont val="Arial"/>
        <family val="2"/>
      </rPr>
      <t xml:space="preserve"> for the previous fiscal year.</t>
    </r>
  </si>
  <si>
    <t>Municipality:</t>
  </si>
  <si>
    <t>Chief Financial Officer:</t>
  </si>
  <si>
    <t>Certificate #:</t>
  </si>
  <si>
    <t>Sheet  1c</t>
  </si>
  <si>
    <t>Total "Interest on Bonds - Type I School Debt Service" (*Items)</t>
  </si>
  <si>
    <t>Amount Issued          -02</t>
  </si>
  <si>
    <t>MUNICODE</t>
  </si>
  <si>
    <t>0512</t>
  </si>
  <si>
    <t>Fax Number</t>
  </si>
  <si>
    <t>(Fax Number)</t>
  </si>
  <si>
    <t>TYPE  I  SCHOOL  SERIAL  BONDS</t>
  </si>
  <si>
    <t>Cash Paid to Appellants (Including 5% Interest from Date of Payment)</t>
  </si>
  <si>
    <t xml:space="preserve">utility owned and operated by the </t>
  </si>
  <si>
    <t>COMPLETED</t>
  </si>
  <si>
    <t>years.</t>
  </si>
  <si>
    <t>Date  of     Issue</t>
  </si>
  <si>
    <t>Interest   Rate</t>
  </si>
  <si>
    <t>Amount Issued</t>
  </si>
  <si>
    <t>Issued</t>
  </si>
  <si>
    <t>ASSESSMENT  SERIAL  BONDS</t>
  </si>
  <si>
    <t>Cash Liabilities Must Be Subtotaled and Subtotal Must Be Marked With "C" -- Taxes Receivable Must Be Subtotaled</t>
  </si>
  <si>
    <t>Title of Account</t>
  </si>
  <si>
    <t>Debit</t>
  </si>
  <si>
    <t>Credit</t>
  </si>
  <si>
    <t>(Do not crowd - add additional sheets)</t>
  </si>
  <si>
    <t>Sheet  3</t>
  </si>
  <si>
    <r>
      <t xml:space="preserve">NOTE  THAT  A  TRIAL  BALANCE  IS  REQUIRED  AND  </t>
    </r>
    <r>
      <rPr>
        <u/>
        <sz val="10"/>
        <rFont val="Times New Roman"/>
        <family val="1"/>
      </rPr>
      <t>NOT  A  BALANCE  SHEET</t>
    </r>
  </si>
  <si>
    <t>Sheet  3a</t>
  </si>
  <si>
    <t xml:space="preserve">TRIAL  BALANCE - PUBLIC  ASSISTANCE  FUND  </t>
  </si>
  <si>
    <t>Sheet  4</t>
  </si>
  <si>
    <t>*To be prepared in compliance with Department of Human Services Municipal Audit Guide,</t>
  </si>
  <si>
    <t>POST  CLOSING  TRIAL  BALANCE</t>
  </si>
  <si>
    <t>FEDERAL  AND  STATE  GRANTS</t>
  </si>
  <si>
    <t>Trial Balance-Capital Fund</t>
  </si>
  <si>
    <t>Cash Reconciliation</t>
  </si>
  <si>
    <r>
      <t xml:space="preserve">pass-through entities.  </t>
    </r>
    <r>
      <rPr>
        <b/>
        <sz val="10"/>
        <rFont val="Arial"/>
        <family val="2"/>
      </rPr>
      <t>Exclude state aid (I.e., CMPTRA, Energy Receipts tax, etc.) since there</t>
    </r>
  </si>
  <si>
    <t>are no compliance requirements.</t>
  </si>
  <si>
    <t>Report expenditures from federal programs received directly from the federal government or indirectly</t>
  </si>
  <si>
    <t>from entities other than state government.</t>
  </si>
  <si>
    <t>For Principal</t>
  </si>
  <si>
    <r>
      <t xml:space="preserve">All </t>
    </r>
    <r>
      <rPr>
        <u/>
        <sz val="8"/>
        <rFont val="Arial"/>
        <family val="2"/>
      </rPr>
      <t>"Certificates of Deposits", Repurchase Agreements" and other investments must be</t>
    </r>
    <r>
      <rPr>
        <sz val="8"/>
        <rFont val="Arial"/>
        <family val="2"/>
      </rPr>
      <t xml:space="preserve"> reported as cash and included in</t>
    </r>
  </si>
  <si>
    <t>(THIS MUST BE SIGNED BY THE REGISTERED MUNICIPAL ACCOUNTANT (STATUTORY AUDITOR) OR</t>
  </si>
  <si>
    <r>
      <t>CHIEF FINANCIAL OFFICER)</t>
    </r>
    <r>
      <rPr>
        <sz val="10"/>
        <rFont val="Arial"/>
        <family val="2"/>
      </rPr>
      <t xml:space="preserve"> </t>
    </r>
    <r>
      <rPr>
        <sz val="8"/>
        <rFont val="Arial"/>
        <family val="2"/>
      </rPr>
      <t>depending on who prepared this Annual Financial Statement as certified to on Sheet 1 or 1(a).</t>
    </r>
  </si>
  <si>
    <t>Signature:</t>
  </si>
  <si>
    <t>Title:</t>
  </si>
  <si>
    <t>examination of its Budget in accordance with N.J.A.C. 5:30-7.5.</t>
  </si>
  <si>
    <t>DEFERRED SCHOOL TAX</t>
  </si>
  <si>
    <t>DEFERRED SCHOOL TAX PAYABLE</t>
  </si>
  <si>
    <t>CONSOLIDATION ACT; FLOOD OR HURRICANE DAMAGE.</t>
  </si>
  <si>
    <t>are recorded on this page</t>
  </si>
  <si>
    <t>Chief Financial Officer</t>
  </si>
  <si>
    <t>Sheet  30</t>
  </si>
  <si>
    <t>1/3 of Amount</t>
  </si>
  <si>
    <t>SCHEDULE  OF  BONDS  ISSUED  AND  OUTSTANDING</t>
  </si>
  <si>
    <t>DUE FROM/TO CURRENT FUND</t>
  </si>
  <si>
    <t>Requirement</t>
  </si>
  <si>
    <t>Emergency Notes</t>
  </si>
  <si>
    <t>Special Emergency Notes</t>
  </si>
  <si>
    <t>Tax Anticipation Notes</t>
  </si>
  <si>
    <t>Interest on Unpaid State &amp; County Taxes</t>
  </si>
  <si>
    <t>Sheet  32</t>
  </si>
  <si>
    <t>DEBT  SERVICE  FOR  NOTES  (OTHER  THAN  ASSESSMENT  NOTES)</t>
  </si>
  <si>
    <t>Sheet  33</t>
  </si>
  <si>
    <t xml:space="preserve">Total    </t>
  </si>
  <si>
    <t>Title or Purpose of Issue</t>
  </si>
  <si>
    <t>Original</t>
  </si>
  <si>
    <t>Date of</t>
  </si>
  <si>
    <t>Issue*</t>
  </si>
  <si>
    <t>This Sheet Must Be Completely Filled in or the Statement Will Be Considered Incomplete</t>
  </si>
  <si>
    <t>Sheet  6.1</t>
  </si>
  <si>
    <t>(3)</t>
  </si>
  <si>
    <t>Surplus Balance - To Surplus (Sheet 21)</t>
  </si>
  <si>
    <t>Miscellaneous Revenues anticipated</t>
  </si>
  <si>
    <t>Delinquent Tax Collections</t>
  </si>
  <si>
    <t>Required Collection of Current Taxes</t>
  </si>
  <si>
    <t>Refunded</t>
  </si>
  <si>
    <t>Sheet  31a</t>
  </si>
  <si>
    <t>I also certify that all amounts, if any, shown for Investments in Savings and Loan Associations on any trial balance have</t>
  </si>
  <si>
    <t>this certification.</t>
  </si>
  <si>
    <t>column "Total Obligations Authorized", explanation must be made part of or attached to this sheet.</t>
  </si>
  <si>
    <t>STATEMENT  OF  CAPITAL  SURPLUS</t>
  </si>
  <si>
    <t>Premium on Sale of Bonds</t>
  </si>
  <si>
    <t>Funded Improvement Authorizations Canceled</t>
  </si>
  <si>
    <t>Sheet  38</t>
  </si>
  <si>
    <r>
      <t xml:space="preserve">The undersigned certifies </t>
    </r>
    <r>
      <rPr>
        <u/>
        <sz val="10"/>
        <rFont val="Arial"/>
        <family val="2"/>
      </rPr>
      <t xml:space="preserve">that this municipality has complied in full in meeting </t>
    </r>
    <r>
      <rPr>
        <b/>
        <u/>
        <sz val="10"/>
        <rFont val="Arial"/>
        <family val="2"/>
      </rPr>
      <t>ALL</t>
    </r>
    <r>
      <rPr>
        <u/>
        <sz val="10"/>
        <rFont val="Arial"/>
        <family val="2"/>
      </rPr>
      <t xml:space="preserve"> of the</t>
    </r>
  </si>
  <si>
    <t>operated utility.</t>
  </si>
  <si>
    <t>COUNTY  TAXES  PAYABLE</t>
  </si>
  <si>
    <t>Sale of Municipal Assets</t>
  </si>
  <si>
    <t>Transferred to Tax Title Liens</t>
  </si>
  <si>
    <t>Net Cash Collected</t>
  </si>
  <si>
    <t>Reserve for Tax Appeals Pending-N.J. Division of Tax Appeals (N.J.S.A. 54:3-37)</t>
  </si>
  <si>
    <t>Source</t>
  </si>
  <si>
    <t>Surplus Anticipated</t>
  </si>
  <si>
    <t>Surplus Anticipated with Prior Written Consent of</t>
  </si>
  <si>
    <t>Director of Local Government</t>
  </si>
  <si>
    <t>-01</t>
  </si>
  <si>
    <t>-02</t>
  </si>
  <si>
    <t>-03</t>
  </si>
  <si>
    <t>Excess or Deficit*</t>
  </si>
  <si>
    <t>Miscellaneous Revenue Anticipated:</t>
  </si>
  <si>
    <t>Adopted Budget</t>
  </si>
  <si>
    <t>Sheet  36</t>
  </si>
  <si>
    <t>Improvement Authorizations Canceled</t>
  </si>
  <si>
    <t>(financed in whole by the Capital Improvement Fund)</t>
  </si>
  <si>
    <t>List by Improvements  -  Direct Charges Made for Preliminary Costs:</t>
  </si>
  <si>
    <t>Appropriated to Finance Improvement Authorizations</t>
  </si>
  <si>
    <t>SCHEDULE  OF  DOWN  PAYMENTS  ON  IMPROVEMENTS</t>
  </si>
  <si>
    <t>Sheet  37</t>
  </si>
  <si>
    <t>Municipal Budget-Computation of "Reserve for Uncollected Taxes" and "Amount to be Raised by Taxation"</t>
  </si>
  <si>
    <t>Accelerated Tax Sale - Chapter 99.  Calculation to Utilize Proceeds in Current Budget as Deduction to Reserve</t>
  </si>
  <si>
    <t>for Uncollected Taxes Appropriation</t>
  </si>
  <si>
    <t>Delinquent Taxes and Tax Title Liens</t>
  </si>
  <si>
    <t>Foreclosed Property; Contract Sales; Mortgage Sales</t>
  </si>
  <si>
    <t>Deferred Charges and List of Judgments-Current</t>
  </si>
  <si>
    <t>Emergency-Tax Map; Revaluation; Master Plan; Revisions and Codification of Ordinance; Drainage Maps for</t>
  </si>
  <si>
    <t>Analysis of Trust Assessment Cash and Investments Pledged to Liabilities and Surplus</t>
  </si>
  <si>
    <t>TRIAL  BALANCE  --  GENERAL  CAPITAL  FUND</t>
  </si>
  <si>
    <t>Sheet  8</t>
  </si>
  <si>
    <t>Est. Proceeds Bonds and Notes Authorized</t>
  </si>
  <si>
    <t>Bonds and Notes Authorized but Not Issued</t>
  </si>
  <si>
    <t>Cash</t>
  </si>
  <si>
    <t>*On Hand</t>
  </si>
  <si>
    <t>On Deposit</t>
  </si>
  <si>
    <t>Less Checks</t>
  </si>
  <si>
    <t>Outstanding</t>
  </si>
  <si>
    <t>Cash Book</t>
  </si>
  <si>
    <t>Sheet  9</t>
  </si>
  <si>
    <t>Total</t>
  </si>
  <si>
    <t>Appropriated</t>
  </si>
  <si>
    <t>Obligations</t>
  </si>
  <si>
    <t>Down Payment</t>
  </si>
  <si>
    <t>Provided by</t>
  </si>
  <si>
    <t>Deficit in Anticipated Revenues:</t>
  </si>
  <si>
    <t>Operating Surplus Cash or (Deficit in Operating Surplus Cash)</t>
  </si>
  <si>
    <t>Operating Deficit #</t>
  </si>
  <si>
    <t>Excess in Anticipated Revenues</t>
  </si>
  <si>
    <t>Miscellaneous Revenues Not Anticipated</t>
  </si>
  <si>
    <t>Operating Deficit - to Trial Balance</t>
  </si>
  <si>
    <t>Excess in Operations - to Operating Surplus</t>
  </si>
  <si>
    <t>*In the case of a "Deficit in Operating Surplus Cash",</t>
  </si>
  <si>
    <t>Increased by:</t>
  </si>
  <si>
    <t>Decreased by:</t>
  </si>
  <si>
    <t>Collections</t>
  </si>
  <si>
    <t>Overpayments applied</t>
  </si>
  <si>
    <t>Other</t>
  </si>
  <si>
    <t>Transfers from Accounts Receivable</t>
  </si>
  <si>
    <t>Penalties and Costs</t>
  </si>
  <si>
    <t>and Veterans Deductions Allowed</t>
  </si>
  <si>
    <t>Total To Line 14</t>
  </si>
  <si>
    <t>11.</t>
  </si>
  <si>
    <t>Total Credits</t>
  </si>
  <si>
    <t>12.</t>
  </si>
  <si>
    <t>13.</t>
  </si>
  <si>
    <t>Sheet  22</t>
  </si>
  <si>
    <t>(Item 10 divided by Item 5c) is</t>
  </si>
  <si>
    <t>MUNICIPALITIES  AND  COUNTIES</t>
  </si>
  <si>
    <t>FEDERAL  AND  STATE  GRANTS  RECEIVABLE</t>
  </si>
  <si>
    <t>Sheet  11</t>
  </si>
  <si>
    <t>Appropriation</t>
  </si>
  <si>
    <t>By 40A:4-87</t>
  </si>
  <si>
    <t>Budget Appropriations</t>
  </si>
  <si>
    <t>Expended</t>
  </si>
  <si>
    <t>SCHEDULE  OF  APPROPRIATED  RESERVES  FOR</t>
  </si>
  <si>
    <t>Sheet  12</t>
  </si>
  <si>
    <t>SCHEDULE  OF  UNAPPROPRIATED  RESERVES  FOR</t>
  </si>
  <si>
    <t>Ordinance</t>
  </si>
  <si>
    <t>Amount of Down</t>
  </si>
  <si>
    <t>Payment in Budget</t>
  </si>
  <si>
    <t xml:space="preserve">NOTE  -  </t>
  </si>
  <si>
    <t>Where amount in column "Down Payment Provided by Ordinance" is LESS than 5% of amount in</t>
  </si>
  <si>
    <t>Collected:</t>
  </si>
  <si>
    <t>(See Note A on Sheet 22 - Current Taxes)</t>
  </si>
  <si>
    <t>Loss on Sales</t>
  </si>
  <si>
    <t>Gain on Sales</t>
  </si>
  <si>
    <t>Operating</t>
  </si>
  <si>
    <t>Less Assets "Unfinanced"*</t>
  </si>
  <si>
    <t>JUDGMENTS  ENTERED  AGAINST  MUNICIPALITY  AND  NOT  SATISFIED</t>
  </si>
  <si>
    <t>*LOCAL  DISTRICT  SCHOOL  TAX</t>
  </si>
  <si>
    <t>School Tax Payable #</t>
  </si>
  <si>
    <t>School Tax Deferred</t>
  </si>
  <si>
    <t>Paid</t>
  </si>
  <si>
    <t>Sheet  13</t>
  </si>
  <si>
    <t>Total Amount of Miscellaneous Revenues Not Anticipated (Sheet 19)</t>
  </si>
  <si>
    <t>Deficit in Required Collection of Current Taxes (or)</t>
  </si>
  <si>
    <t>Balance for Support of Municipal Budget (or)</t>
  </si>
  <si>
    <t>*Excess Non-Budget Revenue (see footnote)</t>
  </si>
  <si>
    <t>*Deficit Non-Budget Revenue (see footnote)</t>
  </si>
  <si>
    <t>Total Amount to be Raised by Taxation</t>
  </si>
  <si>
    <t>*These items are applicable only when there is no "Amount to be Raised by Taxation" in the "Budget" column of the statement at the top of this sheet. In such instances, any excess or deficit in the above allocation would apply to "Non-Budget Revenue" only.</t>
  </si>
  <si>
    <t>(Continued)</t>
  </si>
  <si>
    <t>Excess or Deficit</t>
  </si>
  <si>
    <t>Preparation by Registered Municipal Account (Statement of Statutory Auditor Only)</t>
  </si>
  <si>
    <t>Miscellaneous Revenue Not Anticipated:</t>
  </si>
  <si>
    <t>Proceeds of Sale of Foreclosed Property (Sheet 27)</t>
  </si>
  <si>
    <t>Miscellaneous Revenues Anticipated</t>
  </si>
  <si>
    <t>Required Collection on Current Taxes</t>
  </si>
  <si>
    <t>Deficit Balance - To Trial Balance (Sheet 3)</t>
  </si>
  <si>
    <t>Due From State of New Jersey</t>
  </si>
  <si>
    <t>Due To State of New Jersey</t>
  </si>
  <si>
    <t>(N.J.S.A. 52:27BB-55 as Amended by Chap. 211, P.L. 1981)</t>
  </si>
  <si>
    <t>Seventy (70) percent of Item 1</t>
  </si>
  <si>
    <t>(*) Including prepayments and overpayments applied.</t>
  </si>
  <si>
    <t>Answer  YES  or  NO</t>
  </si>
  <si>
    <t>Payments in Lieu of Taxes on Real Property</t>
  </si>
  <si>
    <t>I hereby certify that the above list of Chapter 159 insertions of revenue have been realized in cash or I have received</t>
  </si>
  <si>
    <t>written notification of the award of public or private revenue.  These insertions meet the statutory requirements of</t>
  </si>
  <si>
    <t>N.J.S.A. 40A:4-87 and matching funds have been provided if applicable.</t>
  </si>
  <si>
    <t xml:space="preserve">CFO Signature:  </t>
  </si>
  <si>
    <t>promulgated by the Division of Local Government Services, solely to assist the Chief Financial</t>
  </si>
  <si>
    <t>Officer in connection with the filing of the Annual Financial Statement for the year then</t>
  </si>
  <si>
    <t>APPROPRIATED RESERVES</t>
  </si>
  <si>
    <t>Because the agreed-upon procedures do not constitute an examination of accounts made in</t>
  </si>
  <si>
    <t>accordance with generally accepted auditing standards, I do not express an opinion on any of</t>
  </si>
  <si>
    <t>RESERVE FOR DEBT SERVICE</t>
  </si>
  <si>
    <t>items prescribed by the Division and does not extend to the financial statements of the</t>
  </si>
  <si>
    <t>$1,049,977.50 divided by $1,500,000, or .699985.  The correct percentage to</t>
  </si>
  <si>
    <t>Deferred School Tax Revenue: (See School Taxes, Sheets 13 &amp; 14)</t>
  </si>
  <si>
    <t>SURPLUS  -  CURRENT  FUND</t>
  </si>
  <si>
    <t>1.</t>
  </si>
  <si>
    <t>2.</t>
  </si>
  <si>
    <t>3.</t>
  </si>
  <si>
    <t>4.</t>
  </si>
  <si>
    <t>5.</t>
  </si>
  <si>
    <t>6.</t>
  </si>
  <si>
    <t>7.</t>
  </si>
  <si>
    <t>Board of Education for use of local schools.</t>
  </si>
  <si>
    <t># Must include unpaid requisitions.</t>
  </si>
  <si>
    <t>xxxxxxxxxxx</t>
  </si>
  <si>
    <t>** Interest on Utility Assessment Notes must be included in the Utility Fund Budget appropriation "Interest on Notes".</t>
  </si>
  <si>
    <t>If there is a utility operated by the municipality of if a "utility fund" existed on the books of</t>
  </si>
  <si>
    <t>account, do not sign this statement and do not remove any of the UTILITY sheets from the</t>
  </si>
  <si>
    <t>document.</t>
  </si>
  <si>
    <t>CERTIFICATION</t>
  </si>
  <si>
    <t>I hereby certify that there was no "utility fund" on the books of account and there was no</t>
  </si>
  <si>
    <t>County of</t>
  </si>
  <si>
    <t>,</t>
  </si>
  <si>
    <t>I have therefore removed from this statement the sheets pertaining only to utilities.</t>
  </si>
  <si>
    <t>Name</t>
  </si>
  <si>
    <t>Title</t>
  </si>
  <si>
    <t>NOTE:</t>
  </si>
  <si>
    <t>RESERVE TO PAY BANS</t>
  </si>
  <si>
    <t>Investments</t>
  </si>
  <si>
    <t>are correct, that no transfers have been made to or from emergency appropriations and all statements contained herein</t>
  </si>
  <si>
    <t>Subtotal</t>
  </si>
  <si>
    <t>in Cash</t>
  </si>
  <si>
    <t>Excess or</t>
  </si>
  <si>
    <t>Deficit*</t>
  </si>
  <si>
    <t>STATEMENT  OF  BUDGET  APPROPRIATIONS</t>
  </si>
  <si>
    <t>Appropriations:</t>
  </si>
  <si>
    <t>Emergency</t>
  </si>
  <si>
    <t>Total Appropriations</t>
  </si>
  <si>
    <t>Add: Overexpenditures (See Footnote)</t>
  </si>
  <si>
    <t>Deduct  Expenditures:</t>
  </si>
  <si>
    <t>Surplus (General Budget)**</t>
  </si>
  <si>
    <t>Unexpended Balance Canceled (See Footnote)</t>
  </si>
  <si>
    <t>either an item of revenue "Deficit (General Budget)" or an item of appropriation "Surplus (General</t>
  </si>
  <si>
    <t>Budget)"</t>
  </si>
  <si>
    <t>SECTION 1:</t>
  </si>
  <si>
    <t>Revenue Realized:</t>
  </si>
  <si>
    <t>Budget Revenue (Not Including "Deficit (General Budget)")</t>
  </si>
  <si>
    <t>Miscellaneous Revenue Not Anticipated</t>
  </si>
  <si>
    <t>Total Revenue Realized</t>
  </si>
  <si>
    <t>Expenditures:</t>
  </si>
  <si>
    <t>Appropriations (Not Including "Surplus (General Budget)")</t>
  </si>
  <si>
    <t>Expended Without Appropriation</t>
  </si>
  <si>
    <t>Cash Refund of Prior Year's Revenue</t>
  </si>
  <si>
    <t>Certification is hereby made that the Net Valuation Taxable of property liable to taxation for</t>
  </si>
  <si>
    <t>SIGNATURE OF TAX ASSESSOR</t>
  </si>
  <si>
    <t>MUNICIPALITY</t>
  </si>
  <si>
    <t>COUNTY</t>
  </si>
  <si>
    <t>Sheet  2</t>
  </si>
  <si>
    <t>Fed I.D. #</t>
  </si>
  <si>
    <t>Municipality</t>
  </si>
  <si>
    <t>County</t>
  </si>
  <si>
    <t>Report  of  Federal  and  State  Financial  Assistance</t>
  </si>
  <si>
    <t>Expenditures  of  Awards</t>
  </si>
  <si>
    <t xml:space="preserve">Fiscal Year Ending: </t>
  </si>
  <si>
    <t>CASH</t>
  </si>
  <si>
    <t>TAXES RECEIVABLE:</t>
  </si>
  <si>
    <t>PRIOR</t>
  </si>
  <si>
    <t>CURRENT</t>
  </si>
  <si>
    <t>SUBTOTAL</t>
  </si>
  <si>
    <t>TAX TITLE LIENS RECEIVABLE</t>
  </si>
  <si>
    <t>PROPERTY ACQUIRED FOR TAXES</t>
  </si>
  <si>
    <t>On Item 1 if Duplicate (Analysis) Figure is used; be sure to include</t>
  </si>
  <si>
    <t>Senior Citizens and Veterans Deductions.</t>
  </si>
  <si>
    <t>**  Tax appeals pursuant to R.S. 54:3-21 et seq and/or R.S. 54:48-1 et seq approved by resolution of the governing</t>
  </si>
  <si>
    <t>kept and maintained in the Local Unit.</t>
  </si>
  <si>
    <t>Deduct Cash Liabilities Marked with "C" on Trial Balance</t>
  </si>
  <si>
    <t>Cash Surplus</t>
  </si>
  <si>
    <t>Deficit in Cash Surplus</t>
  </si>
  <si>
    <t>Deferred Charges #</t>
  </si>
  <si>
    <t>Cash Deficit #</t>
  </si>
  <si>
    <t>Total Other Assets</t>
  </si>
  <si>
    <t>Sheet  21</t>
  </si>
  <si>
    <t>Other Assets Pledged to Surplus:*</t>
  </si>
  <si>
    <t>(1) Due from State of N.J. Senior                      Citizens and Veterans Deduction</t>
  </si>
  <si>
    <t>(FOR  MUNICIPALITIES  ONLY)</t>
  </si>
  <si>
    <t>Amount of Levy as per Duplicate (Analysis) #</t>
  </si>
  <si>
    <t>$</t>
  </si>
  <si>
    <t>or</t>
  </si>
  <si>
    <t>(Abstract of Ratables)</t>
  </si>
  <si>
    <t>Amount Levied for Added Taxes under</t>
  </si>
  <si>
    <t>N.J.S.A. 54:4-63.12 et seq.</t>
  </si>
  <si>
    <t>N.J.S.A. 54:4-63.1 et seq.</t>
  </si>
  <si>
    <t>Amount Levied for Omitted Taxes under</t>
  </si>
  <si>
    <t>5a.</t>
  </si>
  <si>
    <t>5b.</t>
  </si>
  <si>
    <t>5c.</t>
  </si>
  <si>
    <t>Transferred to Foreclosed Property</t>
  </si>
  <si>
    <t>8.</t>
  </si>
  <si>
    <t>9.</t>
  </si>
  <si>
    <t>10.</t>
  </si>
  <si>
    <t>17 &amp; 17a.</t>
  </si>
  <si>
    <t>22a.</t>
  </si>
  <si>
    <t>25.</t>
  </si>
  <si>
    <t>25a.</t>
  </si>
  <si>
    <t>26.</t>
  </si>
  <si>
    <t>27.</t>
  </si>
  <si>
    <t>28.</t>
  </si>
  <si>
    <t>29.</t>
  </si>
  <si>
    <t>30.</t>
  </si>
  <si>
    <t>32.</t>
  </si>
  <si>
    <t>33.</t>
  </si>
  <si>
    <t>35 &amp; 35a.</t>
  </si>
  <si>
    <t>36.</t>
  </si>
  <si>
    <t>37.</t>
  </si>
  <si>
    <t>38.</t>
  </si>
  <si>
    <t>39.</t>
  </si>
  <si>
    <t>Emergency - Damage to Roads and Bridges by Snow, Ice, etc.; Public Exigencies Caused by Civil Disturbances</t>
  </si>
  <si>
    <t>40.</t>
  </si>
  <si>
    <t>Sheet  69</t>
  </si>
  <si>
    <t>41 &amp; 55.</t>
  </si>
  <si>
    <t>42 &amp; 56.</t>
  </si>
  <si>
    <t>43 &amp; 57.</t>
  </si>
  <si>
    <t>45 &amp; 59.</t>
  </si>
  <si>
    <t>44 &amp; 58.</t>
  </si>
  <si>
    <t>46 &amp; 60.</t>
  </si>
  <si>
    <t>47 &amp; 61.</t>
  </si>
  <si>
    <t>Purpose</t>
  </si>
  <si>
    <t>Amount</t>
  </si>
  <si>
    <t>Sheet  28</t>
  </si>
  <si>
    <t>In Favor of</t>
  </si>
  <si>
    <t>On Account of</t>
  </si>
  <si>
    <t>Date Entered</t>
  </si>
  <si>
    <t>Appropriated for</t>
  </si>
  <si>
    <t>in Budget of</t>
  </si>
  <si>
    <t>- MANDATORY  CHARGES  ONLY -</t>
  </si>
  <si>
    <t>CURRENT,  TRUST,  AND  GENERAL  CAPITAL  FUNDS</t>
  </si>
  <si>
    <t>exact copy of the original on file with the clerk of the governing body, that all calculations, extensions and additions</t>
  </si>
  <si>
    <t>POST  CLOSING</t>
  </si>
  <si>
    <t>Sheet  27</t>
  </si>
  <si>
    <t>BOND ANTICIPATION NOTES PAYABLE</t>
  </si>
  <si>
    <t>Receipts</t>
  </si>
  <si>
    <t>Sheet  6b</t>
  </si>
  <si>
    <t>SCHEDULE  OF  CAPITAL  LEASE  PROGRAM  OBLIGATIONS</t>
  </si>
  <si>
    <t>Lease Obligation Outstanding</t>
  </si>
  <si>
    <t>For Interest/Fees</t>
  </si>
  <si>
    <t>Report</t>
  </si>
  <si>
    <t>per Audit</t>
  </si>
  <si>
    <t>Caused By</t>
  </si>
  <si>
    <t>Amount in</t>
  </si>
  <si>
    <t>Resulting</t>
  </si>
  <si>
    <t>as at</t>
  </si>
  <si>
    <t>Sheet  29</t>
  </si>
  <si>
    <t>Canceled</t>
  </si>
  <si>
    <t>By Resolution</t>
  </si>
  <si>
    <t>Authorized</t>
  </si>
  <si>
    <t>Not Less Than</t>
  </si>
  <si>
    <t>1/5 of Amount</t>
  </si>
  <si>
    <t>Authorized*</t>
  </si>
  <si>
    <t>Cancelled</t>
  </si>
  <si>
    <t>TAX MAP; REVALUATION; MASTER PLAN; REVISION AND CODIFICATION OF ORDINANCES; DRAINAGE MAPS</t>
  </si>
  <si>
    <t>Local District School Tax-Municipal Open Space Tax</t>
  </si>
  <si>
    <t>TRIAL  BALANCE - CURRENT  FUND (CONT'D)</t>
  </si>
  <si>
    <t>Section in the same manner as set forth in General Capital Fund on Sheet 8</t>
  </si>
  <si>
    <t>Operating and Capital Sections</t>
  </si>
  <si>
    <t>EMERGENCY</t>
  </si>
  <si>
    <t>Received in Cash from State</t>
  </si>
  <si>
    <t>Posting Calculation do not</t>
  </si>
  <si>
    <t>Remove</t>
  </si>
  <si>
    <t>Taxes Pending Appeals</t>
  </si>
  <si>
    <t>Interest Earned on Taxes Pending Appeals</t>
  </si>
  <si>
    <t>Interest Earned on Taxes Pending State Appeals</t>
  </si>
  <si>
    <t>Closed to Results of Operation</t>
  </si>
  <si>
    <t>(Portion of Appeal won by Municipality, including Interest)</t>
  </si>
  <si>
    <t>Taxes Pending Appeals*</t>
  </si>
  <si>
    <t>IT IS HEREBY INCUMBENT UPON THE CHIEF FINANCIAL OFFICER, WHEN NOT PREPARED</t>
  </si>
  <si>
    <t>STATEMENT WITH THE PREPARER, SO AS TO BE FAMILIAR WITH THE REPRESENTATIONS</t>
  </si>
  <si>
    <t>AND ASSERTIONS MADE HEREIN.</t>
  </si>
  <si>
    <t>and that the</t>
  </si>
  <si>
    <t>,  County  of</t>
  </si>
  <si>
    <t>Further,  I  do  hereby  certify that I,</t>
  </si>
  <si>
    <t>Federal and State Grants Receivable</t>
  </si>
  <si>
    <t>Appropriated Reserves for Federal and State Grants</t>
  </si>
  <si>
    <t>Unappropriated Reserves for Federal and State Grants</t>
  </si>
  <si>
    <t>Regional School Tax-Regional High School Tax</t>
  </si>
  <si>
    <t>County Taxes Payable-Special District Taxes</t>
  </si>
  <si>
    <t>General Budget Revenues</t>
  </si>
  <si>
    <t>Allocation of Current Tax Collections</t>
  </si>
  <si>
    <t>General Budget Appropriations</t>
  </si>
  <si>
    <t>Emergency Appropriations for Local District School Purposes</t>
  </si>
  <si>
    <t>Schedule of Miscellaneous Revenues Not Anticipated</t>
  </si>
  <si>
    <t>Surplus Account and Analysis of Balance</t>
  </si>
  <si>
    <t>Sheet  5</t>
  </si>
  <si>
    <t>Sheet  6</t>
  </si>
  <si>
    <t>SCHEDULE  OF  LOANS  ISSUED  AND  OUTSTANDING</t>
  </si>
  <si>
    <t>MUNICIPALITIES  ONLY</t>
  </si>
  <si>
    <t>not plan to conduct one in the current year.</t>
  </si>
  <si>
    <t>FOR FLOOD CONTROL; PRELIMINARY ENGINEERING STUDIES, ETC. FOR SANITARY SEWER SYSTEM; MUNICIPAL</t>
  </si>
  <si>
    <t>Municipal Public Defender -- P.L. 1998, C. 256</t>
  </si>
  <si>
    <t>Transferred to Foreclosed Tax Title Liens:</t>
  </si>
  <si>
    <t>Added Taxes</t>
  </si>
  <si>
    <t>Added Tax Title Liens</t>
  </si>
  <si>
    <t>Taxes - Transfers to Tax Title Liens</t>
  </si>
  <si>
    <t>Tax Title Liens - Transfers from Taxes</t>
  </si>
  <si>
    <t>(1)</t>
  </si>
  <si>
    <t>Balance Before Cash Payments</t>
  </si>
  <si>
    <t>Balance Brought Down</t>
  </si>
  <si>
    <t>15.</t>
  </si>
  <si>
    <t>16.</t>
  </si>
  <si>
    <t>Percentage of Cash Collections to Adjusted Amount Outstanding</t>
  </si>
  <si>
    <t>(Item No. 10 divided by Item No. 9) is</t>
  </si>
  <si>
    <t>17.</t>
  </si>
  <si>
    <t>and represents the</t>
  </si>
  <si>
    <t>(administered by</t>
  </si>
  <si>
    <t>Report expenditures from federal pass-through programs received directly from state government.</t>
  </si>
  <si>
    <t>Report expenditures from state programs received directly from state government or indirectly from</t>
  </si>
  <si>
    <t>permanent financing submitted.</t>
  </si>
  <si>
    <t>The arrangement of the schedules is shown by the index appearing at the bottom hereof. The statement is prepared</t>
  </si>
  <si>
    <t>Municipal Budget Local Examination Certification</t>
  </si>
  <si>
    <t>Report of Federal and State Financial Assistance Expenditures of Awards</t>
  </si>
  <si>
    <t>Instructions and Certification</t>
  </si>
  <si>
    <t>Trial Balance-Current Fund</t>
  </si>
  <si>
    <t>Trial Balance-Public Assistance Fund</t>
  </si>
  <si>
    <t>Trial Balance-Federal and State Funds</t>
  </si>
  <si>
    <t>accompanying Annual Financial Statement from the books of account and records made</t>
  </si>
  <si>
    <t>Listing of agreed-upon procedures not performed and/or matters coming to my attention of</t>
  </si>
  <si>
    <t>DEBT  SERVICE  SCHEDULE  FOR  ASSESSMENT  NOTES</t>
  </si>
  <si>
    <t>SCHEDULE  OF  IMPROVEMENT  AUTHORIZATIONS  (GENERAL  CAPITAL  FUND)</t>
  </si>
  <si>
    <t>IMPROVEMENTS</t>
  </si>
  <si>
    <t>Specify each authorization by purpose. Do</t>
  </si>
  <si>
    <t>not merely designate by a code number.</t>
  </si>
  <si>
    <t>Funded</t>
  </si>
  <si>
    <t>Unfunded</t>
  </si>
  <si>
    <t>Authorizations</t>
  </si>
  <si>
    <t xml:space="preserve">Page Total    </t>
  </si>
  <si>
    <t>Place an * before each item of "Improvement" which represents a funding or refunding of an emergency authorization.</t>
  </si>
  <si>
    <t>Sheet  35</t>
  </si>
  <si>
    <t>SCHEDULE  OF  IMPROVEMENT  AUTHORIZATIONS  (GENERAL  CAPITAL  FUND) (cont.)</t>
  </si>
  <si>
    <t>GENERAL  CAPITAL  FUND</t>
  </si>
  <si>
    <t>SCHEDULE  OF  CAPITAL  IMPROVEMENT  FUND</t>
  </si>
  <si>
    <t>ANALYSIS  OF  TRUST  ASSESSMENT  CASH  AND  INVESTMENTS  PLEDGED  TO</t>
  </si>
  <si>
    <t>LIABILITIES  AND  SURPLUS</t>
  </si>
  <si>
    <t>Audit</t>
  </si>
  <si>
    <t>Balance</t>
  </si>
  <si>
    <t>RECEIPTS</t>
  </si>
  <si>
    <t>Assessments</t>
  </si>
  <si>
    <t>and Liens</t>
  </si>
  <si>
    <t>Current</t>
  </si>
  <si>
    <t>Budget</t>
  </si>
  <si>
    <t>Disbursements</t>
  </si>
  <si>
    <t>Title of Liability to which Cash</t>
  </si>
  <si>
    <t>and Investments are Pledged</t>
  </si>
  <si>
    <t>Sheet  7</t>
  </si>
  <si>
    <t>of Note</t>
  </si>
  <si>
    <t>of</t>
  </si>
  <si>
    <t>Maturity</t>
  </si>
  <si>
    <t>Rate</t>
  </si>
  <si>
    <t>Interest</t>
  </si>
  <si>
    <t>For Interest</t>
  </si>
  <si>
    <t>**</t>
  </si>
  <si>
    <t>Computed to</t>
  </si>
  <si>
    <t>(Insert Date)</t>
  </si>
  <si>
    <t>Sheet  34</t>
  </si>
  <si>
    <t>MEMO:* See Sheet 33 for clarification of "Original Date of Issue"</t>
  </si>
  <si>
    <t>submitted with statement.</t>
  </si>
  <si>
    <t xml:space="preserve">Total                            70000-  </t>
  </si>
  <si>
    <t>Total "Interest on Bonds - Debt Service" (*Items)</t>
  </si>
  <si>
    <t>Sheet  31</t>
  </si>
  <si>
    <t>TYPE  I  SCHOOL  TERM  BONDS</t>
  </si>
  <si>
    <t>GRANTS RECEIVABLE</t>
  </si>
  <si>
    <t>UNAPPROPRIATED RESERVES</t>
  </si>
  <si>
    <t>TRIAL  BALANCE - CURRENT  FUND</t>
  </si>
  <si>
    <t>* Include Deposits In Transit</t>
  </si>
  <si>
    <t>** Be sure to include a Public Assistance Account reconciliation and trial balance if the municipality maintains such a bank account.</t>
  </si>
  <si>
    <t>REQUIRED  CERTIFICATION</t>
  </si>
  <si>
    <t>I hereby certify that all amounts shown in the "Cash on Deposit" column on Sheet 9 and 9(a) have been verified with the</t>
  </si>
  <si>
    <t>Current Tax Levy</t>
  </si>
  <si>
    <t>Due from/to State of New Jersey for Senior Citizens and Veterans Deductions</t>
  </si>
  <si>
    <t>14.</t>
  </si>
  <si>
    <t>Calculation of Current Taxes Realized in Cash:</t>
  </si>
  <si>
    <t>Total of Line  10</t>
  </si>
  <si>
    <t xml:space="preserve">Less: </t>
  </si>
  <si>
    <t>Reserve for Tax Appeals Pending</t>
  </si>
  <si>
    <t>State Division of Tax Appeals</t>
  </si>
  <si>
    <t>To Current Taxes Realized in Cash (Sheet 17)</t>
  </si>
  <si>
    <t>ACCELERATED  TAX  SALE  /  TAX  LEVY  SALE  -  CHAPTER  99</t>
  </si>
  <si>
    <t>* Not including Type 1 school debt service, emergency authorizations-schools, transfer to</t>
  </si>
  <si>
    <t>Summary Statement of Debt Service Requirements-Municipal (or County)</t>
  </si>
  <si>
    <t>Summary Statement of Debt Service Requirements-School-Type I and Current</t>
  </si>
  <si>
    <t>Debt Service for Notes (Other than Assessment Notes)</t>
  </si>
  <si>
    <t>Improvement Authorizations</t>
  </si>
  <si>
    <t>Capital Improvement Fund</t>
  </si>
  <si>
    <t>Flood Control; Preliminary Studies, etc. for Sanitary Sewer Systems, Municipal Consolidation Act; Flood or</t>
  </si>
  <si>
    <t>General Capital Surplus, Bond Covenants</t>
  </si>
  <si>
    <t>Required Information (N.J.S.A. 52:27BB-55 as amended by Chap. 211, P.L. 1981)</t>
  </si>
  <si>
    <t>Trial Balance-Utility Fund</t>
  </si>
  <si>
    <t>Trial Balance-Utility Assessment Trust Funds</t>
  </si>
  <si>
    <t>Analysis of Utility Assessment Trust Cash and Investments Pledged to Liabilities and Surplus</t>
  </si>
  <si>
    <t>Utility Revenues and Appropriations</t>
  </si>
  <si>
    <t>Debt Service for Utility Notes (Other than Utility Assessment Notes)</t>
  </si>
  <si>
    <t>Debt Service for Utility Assessment Notes</t>
  </si>
  <si>
    <t>Improvement Authorizations (Utility Capital)</t>
  </si>
  <si>
    <t>Capital Improvement Fund and Down Payments</t>
  </si>
  <si>
    <t>DISTRICT  SCHOOL  PURPOSES</t>
  </si>
  <si>
    <t>(EXCEPT  FOR  TYPE I SCHOOL DEBT SERVICE)</t>
  </si>
  <si>
    <t>Sheet  18</t>
  </si>
  <si>
    <t>Total Authorizations</t>
  </si>
  <si>
    <t>Paid or Charged</t>
  </si>
  <si>
    <t>CURRENT  FUND</t>
  </si>
  <si>
    <t>Sheet  19</t>
  </si>
  <si>
    <t>Amount Realized</t>
  </si>
  <si>
    <t>SCHEDULE  OF  MISCELLANEOUS  REVENUES</t>
  </si>
  <si>
    <t>NOT  ANTICIPATED</t>
  </si>
  <si>
    <t>Sheet  20</t>
  </si>
  <si>
    <t>Have payments been made for all bonded obligations or notes due on or before</t>
  </si>
  <si>
    <t xml:space="preserve">  If answer is "NO" give details</t>
  </si>
  <si>
    <t>just ended?</t>
  </si>
  <si>
    <t>=</t>
  </si>
  <si>
    <t xml:space="preserve">$ </t>
  </si>
  <si>
    <t>Levy --</t>
  </si>
  <si>
    <t>State Taxes</t>
  </si>
  <si>
    <t>Amounts due Special Districts</t>
  </si>
  <si>
    <t>Sheet  39</t>
  </si>
  <si>
    <t>Unpaid</t>
  </si>
  <si>
    <t>IMPORTANT !!</t>
  </si>
  <si>
    <t>NOTE: If answer to Item B1 is YES, then Item B2 must be answered</t>
  </si>
  <si>
    <t>obligations or notes exceed 25% of the total appropriations for operating purpose in the budget for the year</t>
  </si>
  <si>
    <t>IMPORTANT !</t>
  </si>
  <si>
    <t>READ  INSTRUCTIONS</t>
  </si>
  <si>
    <t>INSTRUCTIONS</t>
  </si>
  <si>
    <t>The following certification is to be used ONLY in the event there is NO municipality</t>
  </si>
  <si>
    <t>Fund Balance</t>
  </si>
  <si>
    <t>ACCOUNTS  #1 AND #2 *</t>
  </si>
  <si>
    <t>Public Welfare, General Assistance Program.</t>
  </si>
  <si>
    <t>(Assessment  Section  Must  Be  Separately  Stated)</t>
  </si>
  <si>
    <t>Assessment Serial Bond Issues:</t>
  </si>
  <si>
    <t>Assessment Bond Anticipation Note Issues:</t>
  </si>
  <si>
    <t>Other Liabilities</t>
  </si>
  <si>
    <t>Trust Surplus</t>
  </si>
  <si>
    <t>*Less Assets "Unfinanced"</t>
  </si>
  <si>
    <t>*Show as red figure</t>
  </si>
  <si>
    <t>xxxxxxxxx</t>
  </si>
  <si>
    <t>Note: Sections N.J.S.  40A:4-61, 40A:4-62 and 40A:4-63 of the Local Budget Law require that</t>
  </si>
  <si>
    <t>FEDERAL  AND  STATE  GRANTS  RECEIVABLE (cont'd)</t>
  </si>
  <si>
    <r>
      <t xml:space="preserve">The tax collection rate </t>
    </r>
    <r>
      <rPr>
        <b/>
        <sz val="10"/>
        <rFont val="Arial"/>
        <family val="2"/>
      </rPr>
      <t>exceeded 90%</t>
    </r>
    <r>
      <rPr>
        <sz val="10"/>
        <rFont val="Arial"/>
        <family val="2"/>
      </rPr>
      <t>;</t>
    </r>
  </si>
  <si>
    <t>LIST  BANKS  AND  AMOUNTS  SUPPORTING  "CASH  ON  DEPOSIT"</t>
  </si>
  <si>
    <t>separate bank accounts be maintained for each allocated fund.</t>
  </si>
  <si>
    <t>Sheet  9a</t>
  </si>
  <si>
    <t>Sheet  10</t>
  </si>
  <si>
    <t>Revenue</t>
  </si>
  <si>
    <t>Realized</t>
  </si>
  <si>
    <t>Received</t>
  </si>
  <si>
    <t>Grant</t>
  </si>
  <si>
    <t>Totals</t>
  </si>
  <si>
    <t>Sheet  34a</t>
  </si>
  <si>
    <t>CAPITAL FUND BALANCE</t>
  </si>
  <si>
    <t>CAPITAL SECTION:</t>
  </si>
  <si>
    <t>FIXED CAPITAL:</t>
  </si>
  <si>
    <t>I have prepared the post-closing trial balances, related statement and analyses included in the</t>
  </si>
  <si>
    <t>Certified by me</t>
  </si>
  <si>
    <t>this</t>
  </si>
  <si>
    <t>day of</t>
  </si>
  <si>
    <t>(Registered Municipal Accountant)</t>
  </si>
  <si>
    <t>(Firm Name)</t>
  </si>
  <si>
    <t>(Address)</t>
  </si>
  <si>
    <t>(Phone Number)</t>
  </si>
  <si>
    <t>Date:</t>
  </si>
  <si>
    <t>Sheet  1b</t>
  </si>
  <si>
    <t>MUNICIPAL  BUDGET  LOCAL  EXAMINATION  QUALIFICATION  CERTIFICATION</t>
  </si>
  <si>
    <t>BY</t>
  </si>
  <si>
    <t>CHIEF  FINANCIAL  OFFICER</t>
  </si>
  <si>
    <t>One of the following Certifications must be signed by the Chief Financial Officer if</t>
  </si>
  <si>
    <t>your municipality is eligible for local examination.</t>
  </si>
  <si>
    <t>CERTIFICATION  OF  QUALIFYING  MUNICIPALITY</t>
  </si>
  <si>
    <r>
      <t xml:space="preserve">The outstanding indebtedness of the previous fiscal year </t>
    </r>
    <r>
      <rPr>
        <b/>
        <sz val="10"/>
        <rFont val="Arial"/>
        <family val="2"/>
      </rPr>
      <t>is not in excess of 3.5%;</t>
    </r>
  </si>
  <si>
    <t>appropriations;</t>
  </si>
  <si>
    <r>
      <t xml:space="preserve">All emergencies approved for the previous fiscal year </t>
    </r>
    <r>
      <rPr>
        <b/>
        <sz val="10"/>
        <rFont val="Arial"/>
        <family val="2"/>
      </rPr>
      <t>did not exceed 3%</t>
    </r>
    <r>
      <rPr>
        <sz val="10"/>
        <rFont val="Arial"/>
        <family val="2"/>
      </rPr>
      <t xml:space="preserve"> of total</t>
    </r>
  </si>
  <si>
    <t>Interfund Accounts Receivable</t>
  </si>
  <si>
    <t>Government Services.  Had I performed additional procedures or had I made an examination</t>
  </si>
  <si>
    <t>of the financial statements in accordance with generally accepted auditing standards, other</t>
  </si>
  <si>
    <t>31 &amp;31a.</t>
  </si>
  <si>
    <t>49a &amp; 63a.</t>
  </si>
  <si>
    <t>Summary Statement of Loan Requirements</t>
  </si>
  <si>
    <t xml:space="preserve">matters might have come to my attention that would have been reported to the governing </t>
  </si>
  <si>
    <t xml:space="preserve">body and Division.  This Annual Financial Statement relates only to the accounts and </t>
  </si>
  <si>
    <t>AUTHORIZED AND UNCOMPLETED</t>
  </si>
  <si>
    <t>RESERVE FOR DEFERRED AMORTIZATION</t>
  </si>
  <si>
    <t>RESERVE FOR AMORTIZATION</t>
  </si>
  <si>
    <t>ENCUMBRANCES</t>
  </si>
  <si>
    <t>Utilize this sheet only if you conducted an Accelerated Tax Sale or Tax Levy Sale pursuant to</t>
  </si>
  <si>
    <t>(1) Utilizing  Accelerated  Tax  Sale</t>
  </si>
  <si>
    <t>Total of Line 10 Collected in Cash (sheet 22)</t>
  </si>
  <si>
    <r>
      <t>LESS</t>
    </r>
    <r>
      <rPr>
        <sz val="11"/>
        <rFont val="Arial"/>
        <family val="2"/>
      </rPr>
      <t>: Proceeds from  Accelerated  Tax  Sale</t>
    </r>
  </si>
  <si>
    <t>Percentage of Collection Excluding Accelerated Tax Sale Proceeds</t>
  </si>
  <si>
    <t>(Net Cash Collected divided by Item 5c) is</t>
  </si>
  <si>
    <t>Sheet  22a</t>
  </si>
  <si>
    <t>(2) Utilizing  Tax  Levy  Sale</t>
  </si>
  <si>
    <t>Responses and Data</t>
  </si>
  <si>
    <t>Name of Municipality</t>
  </si>
  <si>
    <t xml:space="preserve">Type </t>
  </si>
  <si>
    <t>Governing Body Type</t>
  </si>
  <si>
    <t xml:space="preserve">Phone </t>
  </si>
  <si>
    <t>Fax</t>
  </si>
  <si>
    <t>xxxxxxxxxx</t>
  </si>
  <si>
    <t>REGIONAL  SCHOOL  TAX</t>
  </si>
  <si>
    <t>(Provide a separate statement for each Regional District involved)</t>
  </si>
  <si>
    <t>REGIONAL  HIGH  SCHOOL  TAX</t>
  </si>
  <si>
    <t>Sheet  14</t>
  </si>
  <si>
    <t>SPECIAL  DISTRICT  TAXES</t>
  </si>
  <si>
    <t>County Taxes</t>
  </si>
  <si>
    <t>Due County for Added and Omitted Taxes</t>
  </si>
  <si>
    <t>General County</t>
  </si>
  <si>
    <t>County Library</t>
  </si>
  <si>
    <t>County Health</t>
  </si>
  <si>
    <t>County Open Space Preservation</t>
  </si>
  <si>
    <t>Fire -</t>
  </si>
  <si>
    <t>Sewer -</t>
  </si>
  <si>
    <t>Water -</t>
  </si>
  <si>
    <t>Garbage -</t>
  </si>
  <si>
    <t>Sheet  15</t>
  </si>
  <si>
    <t>Footnote: Please state the number of districts in each instance.</t>
  </si>
  <si>
    <t>Excess of Anticipated Revenues:</t>
  </si>
  <si>
    <t>Hurricane Damage</t>
  </si>
  <si>
    <t>Sub Total</t>
  </si>
  <si>
    <t>No sheets should be eliminated, except utility fund sheets under the conditions stipulated on sheet 2. Those sheets</t>
  </si>
  <si>
    <t>not filled in should be marked "Not Applicable".</t>
  </si>
  <si>
    <t>INDEX</t>
  </si>
  <si>
    <t>1, 1a, &amp; 1b.</t>
  </si>
  <si>
    <t>Certification and Affidavit</t>
  </si>
  <si>
    <t>1d.</t>
  </si>
  <si>
    <t>1c.</t>
  </si>
  <si>
    <t>6a.</t>
  </si>
  <si>
    <t>9 &amp; 9a.</t>
  </si>
  <si>
    <t>11 &amp; 11a.</t>
  </si>
  <si>
    <t>Note:</t>
  </si>
  <si>
    <t>Veterans Deductions Per Tax Billings</t>
  </si>
  <si>
    <t>the percentage represented by the cash collections would be</t>
  </si>
  <si>
    <t>the post-closing trial balances, related statements and analyses.  In connection with the</t>
  </si>
  <si>
    <t>(2)</t>
  </si>
  <si>
    <t>State</t>
  </si>
  <si>
    <t>Total Appropriations and Overexpenditures</t>
  </si>
  <si>
    <t>Deduct Expenditures:</t>
  </si>
  <si>
    <t>Paid or Charged [Budget Statement Item (L)]</t>
  </si>
  <si>
    <t>Paid or Charged - Reserve for Uncollected Taxes</t>
  </si>
  <si>
    <t>Reserved</t>
  </si>
  <si>
    <t>Total Expenditures</t>
  </si>
  <si>
    <t>requirements of the State of New Jersey, Department of Community Affairs, Division of Local</t>
  </si>
  <si>
    <t>be shown as Item 13 is 69.99% and not 70.00%, nor 69.999%.</t>
  </si>
  <si>
    <t># Note:</t>
  </si>
  <si>
    <t>municipality/county taken as a whole.</t>
  </si>
  <si>
    <t>which the Director should be informed:</t>
  </si>
  <si>
    <t>(UNAUDITED)</t>
  </si>
  <si>
    <t>POPULATION  LAST  CENSUS</t>
  </si>
  <si>
    <t>FIVE  DOLLARS  PER  DAY  PENALTY  IF  NOT  FILED  BY:</t>
  </si>
  <si>
    <t>ANNUAL FINANCIAL STATEMENT REQUIRED TO BE FILED UNDER NEW JERSEY STATUTES</t>
  </si>
  <si>
    <t>ANNOTATED 40A:5-12, AS AMENDED, COMBINED WITH INFORMATION REQUIRED PRIOR TO</t>
  </si>
  <si>
    <t>CERTIFICATION OF BUDGETS BY THE DIRECTOR OF THE DIVISION OF LOCAL GOVERNMENT</t>
  </si>
  <si>
    <t>SERVICES.</t>
  </si>
  <si>
    <t>, County of</t>
  </si>
  <si>
    <t>DO  NOT  USE  THESE  SPACES</t>
  </si>
  <si>
    <t>1</t>
  </si>
  <si>
    <t>2</t>
  </si>
  <si>
    <t>Examined By:</t>
  </si>
  <si>
    <t>Preliminary Check</t>
  </si>
  <si>
    <t>Examined</t>
  </si>
  <si>
    <t>Signature</t>
  </si>
  <si>
    <t>(This MUST be signed by Chief Financial Officer, Comptroller, Auditor or Registered Municipal Accountant.)</t>
  </si>
  <si>
    <r>
      <t xml:space="preserve">REQUIRED  </t>
    </r>
    <r>
      <rPr>
        <b/>
        <u/>
        <sz val="11"/>
        <rFont val="Arial"/>
        <family val="2"/>
      </rPr>
      <t>CERTIFICATION</t>
    </r>
    <r>
      <rPr>
        <b/>
        <sz val="11"/>
        <rFont val="Arial"/>
        <family val="2"/>
      </rPr>
      <t xml:space="preserve">  BY  THE  CHIEF  FINANCIAL  OFFICER:</t>
    </r>
  </si>
  <si>
    <t>Officer, License #</t>
  </si>
  <si>
    <t>Less:</t>
  </si>
  <si>
    <t>Deferred Charges Included in</t>
  </si>
  <si>
    <t>Above "Total Expenditures"</t>
  </si>
  <si>
    <t>Total Expenditures - As Adjusted</t>
  </si>
  <si>
    <t>Excess</t>
  </si>
  <si>
    <t>Budget Appropriation - Surplus (General Budget)**</t>
  </si>
  <si>
    <t>Remainder =</t>
  </si>
  <si>
    <t>Deficit</t>
  </si>
  <si>
    <t>Anticipated Revenue - Deficit (General Budget)**</t>
  </si>
  <si>
    <t>SECTION 2:</t>
  </si>
  <si>
    <t>* Excess (Revenue Realized)</t>
  </si>
  <si>
    <r>
      <t xml:space="preserve">above criteria </t>
    </r>
    <r>
      <rPr>
        <sz val="10"/>
        <rFont val="Arial"/>
        <family val="2"/>
      </rPr>
      <t xml:space="preserve"> in determining its qualification for local examination of its Budget in accordance </t>
    </r>
  </si>
  <si>
    <t>(1) These amounts will always be the same.</t>
  </si>
  <si>
    <t>Sheet  26</t>
  </si>
  <si>
    <t>Federal programs</t>
  </si>
  <si>
    <t>Other Federal</t>
  </si>
  <si>
    <t>Programs</t>
  </si>
  <si>
    <t>the state)</t>
  </si>
  <si>
    <t>Federal pass-through funds can be identified by the Catalog of Federal Domestic Assistance</t>
  </si>
  <si>
    <t>(CFDA) number reported in the State's grant/contract agreements.</t>
  </si>
  <si>
    <t>Municipal Open Space Tax</t>
  </si>
  <si>
    <r>
      <t>FOOTNOTES</t>
    </r>
    <r>
      <rPr>
        <sz val="8"/>
        <rFont val="Arial"/>
        <family val="2"/>
      </rPr>
      <t xml:space="preserve"> - RE: OVEREXPENDITURES</t>
    </r>
  </si>
  <si>
    <t>RE: UNEXPENDED BALANCES CANCELED</t>
  </si>
  <si>
    <t>(1) MAY BE ALLOWED UNDER CERTAIN CONDITIONS.</t>
  </si>
  <si>
    <t>Unexpended Balances Canceled (see footnote)</t>
  </si>
  <si>
    <t>Total General Appropriations (Budget Statement Item 9)</t>
  </si>
  <si>
    <t>Add: Overexpenditures (see footnote)</t>
  </si>
  <si>
    <t>SCHEDULE  OF  EMERGENCY  APPROPRIATIONS  FOR  LOCAL</t>
  </si>
  <si>
    <t>Taxes Receivable</t>
  </si>
  <si>
    <t>Tax Title Liens</t>
  </si>
  <si>
    <t>Signature of Chief Financial Officer</t>
  </si>
  <si>
    <t>TOTAL</t>
  </si>
  <si>
    <t>Single Audit</t>
  </si>
  <si>
    <t>Program Specific Audit</t>
  </si>
  <si>
    <t>Financial Statement Audit Performed in Accordance</t>
  </si>
  <si>
    <t>With Government Auditing Standards (Yellow Book)</t>
  </si>
  <si>
    <t>DEFERRED CHARGES:</t>
  </si>
  <si>
    <t>SPECIAL EMERGENCY (40A:4-55)</t>
  </si>
  <si>
    <t>APPROPRIATION RESERVES</t>
  </si>
  <si>
    <t>ENCUMBRANCES PAYABLE</t>
  </si>
  <si>
    <t>"C"</t>
  </si>
  <si>
    <t>RESERVE FOR RECEIVABLES</t>
  </si>
  <si>
    <t>FUND BALANCE</t>
  </si>
  <si>
    <t>TOTALS</t>
  </si>
  <si>
    <t>FUNDED</t>
  </si>
  <si>
    <t>UNFUNDED</t>
  </si>
  <si>
    <t>DEFERRED CHARGES TO FUTURE TAXATION:</t>
  </si>
  <si>
    <t>IMPROVEMENT AUTHORIZATIONS:</t>
  </si>
  <si>
    <t>CAPITAL IMPROVEMENT FUND</t>
  </si>
  <si>
    <t>Total Miscellaneous Revenue Anticipated</t>
  </si>
  <si>
    <t>Receipts from Delinquent Taxes</t>
  </si>
  <si>
    <t>Amount to be Raised by Taxation:</t>
  </si>
  <si>
    <t>(a)  Local Tax for Municipal Purposes</t>
  </si>
  <si>
    <t>(b)  Addition to Local District School Tax</t>
  </si>
  <si>
    <t>ALLOCATION  OF  CURRENT  TAX  COLLECTIONS</t>
  </si>
  <si>
    <t>Sheet  17</t>
  </si>
  <si>
    <t>Current Taxes Realized in Cash (Total of Item 10 or 14 on Sheet 22)</t>
  </si>
  <si>
    <t>Amount to be Raised by Taxation</t>
  </si>
  <si>
    <t>Local District School Tax</t>
  </si>
  <si>
    <t>Regional School Tax</t>
  </si>
  <si>
    <t>Regional High School Tax</t>
  </si>
  <si>
    <t>Special District Taxes</t>
  </si>
  <si>
    <t>Reserve for Uncollected Taxes</t>
  </si>
  <si>
    <t>Sheet  1a</t>
  </si>
  <si>
    <t xml:space="preserve">available to me by the </t>
  </si>
  <si>
    <r>
      <t xml:space="preserve">Total deferred charges </t>
    </r>
    <r>
      <rPr>
        <b/>
        <sz val="10"/>
        <rFont val="Arial"/>
        <family val="2"/>
      </rPr>
      <t>did not equal or exceed 4%</t>
    </r>
    <r>
      <rPr>
        <sz val="10"/>
        <rFont val="Arial"/>
        <family val="2"/>
      </rPr>
      <t xml:space="preserve"> of the total tax levy;</t>
    </r>
  </si>
  <si>
    <t>accountant on Sheet 1a of the Annual Financial Statement; and</t>
  </si>
  <si>
    <t>CERTIFICATION  OF  NON-QUALIFYING  MUNICIPALITY</t>
  </si>
  <si>
    <t>POST  CLOSING  TRIAL  BALANCE  -</t>
  </si>
  <si>
    <t xml:space="preserve">UTILITY  ASSESSMENT  TRUST  FUNDS </t>
  </si>
  <si>
    <t>IF  MORE  THAN  ONE  UTILITY</t>
  </si>
  <si>
    <t>Remitted, Abated or Canceled</t>
  </si>
  <si>
    <t>Discount Allowed</t>
  </si>
  <si>
    <t>Sheet  17a</t>
  </si>
  <si>
    <t>EACH  ASSESSMENT  SECTION  MUST  BE  SEPARATELY  STATED</t>
  </si>
  <si>
    <t>PLEDGED  TO  LIABILITIES  AND  SURPLUS</t>
  </si>
  <si>
    <t>BUDGET  REVENUES</t>
  </si>
  <si>
    <t>Registered Municipal Accountant</t>
  </si>
  <si>
    <t>Federal ID #</t>
  </si>
  <si>
    <t>Year Ending</t>
  </si>
  <si>
    <t>INSTRUCTIONS  IN  PREPARATION  OF</t>
  </si>
  <si>
    <t>on a full cash basis. Any variations from a full cash basis must be taken up with the Division in advance of the preparation</t>
  </si>
  <si>
    <t>of the statement and the budget.</t>
  </si>
  <si>
    <t>Summary statements only of debt service are required. The use of summarized forms is permitted to conserve time.</t>
  </si>
  <si>
    <t>Responsibility for the supporting detail is placed on the Chief Financial Officer who must be in a position to support the</t>
  </si>
  <si>
    <t>summarized figures.</t>
  </si>
  <si>
    <t>Consent of Director of Local Government Services</t>
  </si>
  <si>
    <t>(FROM  CURRENT  FUND  -  TRIAL  BALANCE)</t>
  </si>
  <si>
    <t>are in proof; I further certify that this statement is correct insofar as I can determine from all the books and records</t>
  </si>
  <si>
    <t>C.</t>
  </si>
  <si>
    <t>D.</t>
  </si>
  <si>
    <t>E.</t>
  </si>
  <si>
    <t>5A.</t>
  </si>
  <si>
    <t>5B.</t>
  </si>
  <si>
    <t>Adjustment to Assessed Valuation</t>
  </si>
  <si>
    <t>Sales</t>
  </si>
  <si>
    <t>Cash *</t>
  </si>
  <si>
    <t>Contract</t>
  </si>
  <si>
    <t>Mortgage</t>
  </si>
  <si>
    <t>SCHEDULE  OF  FORECLOSED  PROPERTY</t>
  </si>
  <si>
    <t>(PROPERTY  ACQUIRED  BY  TAX  TITLE  LIEN  LIQUIDATION)</t>
  </si>
  <si>
    <t>CONTRACT  SALES</t>
  </si>
  <si>
    <t>18.</t>
  </si>
  <si>
    <t>19.</t>
  </si>
  <si>
    <t>Collected*</t>
  </si>
  <si>
    <t>MORTGAGE  SALES</t>
  </si>
  <si>
    <t>20.</t>
  </si>
  <si>
    <t>21.</t>
  </si>
  <si>
    <t>22.</t>
  </si>
  <si>
    <t>23.</t>
  </si>
  <si>
    <t>24.</t>
  </si>
  <si>
    <t>Analysis of Sale of Property:</t>
  </si>
  <si>
    <t>To Results of Operation (Sheet 19)</t>
  </si>
  <si>
    <t>DEFERRED  CHARGES</t>
  </si>
  <si>
    <t>Emergency Authorization -</t>
  </si>
  <si>
    <t>Municipal*</t>
  </si>
  <si>
    <t>Schools</t>
  </si>
  <si>
    <t>*Do not include items funded or refunded as listed below.</t>
  </si>
  <si>
    <t>* IN THE CASE OF A "DEFICIT IN CASH SURPLUS", "OTHER ASSETS"</t>
  </si>
  <si>
    <t>WOULD ALSO BE PLEDGED TO CASH LIABILITIES.</t>
  </si>
  <si>
    <t>Budget Year</t>
  </si>
  <si>
    <t>AFS Year</t>
  </si>
  <si>
    <t>PY</t>
  </si>
  <si>
    <t>Muni Code</t>
  </si>
  <si>
    <t>DATES</t>
  </si>
  <si>
    <t>Year End</t>
  </si>
  <si>
    <t>Type of Audit required by Title 2 U.S. Code of Federal Regulations</t>
  </si>
  <si>
    <t>(CFR) (Uniform Requirements) and OMB 15-08.</t>
  </si>
  <si>
    <t>All local governments, who are recipients of federal and state awards (financial assistance), must</t>
  </si>
  <si>
    <t>report the total amount of federal and state funds expended during its fiscal year and the type of audit</t>
  </si>
  <si>
    <t>Guidance) and OMB 15-08. The single audit threshold has been been increased to $750,000</t>
  </si>
  <si>
    <t>beginning with Fiscal Year ending after 1/1/15. Expenditures are defined in Title 2 U.S. Code of</t>
  </si>
  <si>
    <t>Federal Regulations (CFR) (Uniform Guidance).</t>
  </si>
  <si>
    <t>DUE FROM CURRENT FUND</t>
  </si>
  <si>
    <t>FEDERAL AND STATE GRANTS RECEIVABLE</t>
  </si>
  <si>
    <t>Homestead Benefit Credit</t>
  </si>
  <si>
    <t>DEFICIT</t>
  </si>
  <si>
    <t>I hereby certify that the debt shown on Sheets 31 to 34, 49 to 51 and 63 to 65a are</t>
  </si>
  <si>
    <t>complete, were computed by me and can be supported upon demand by a register or</t>
  </si>
  <si>
    <t>other detailed analysis.</t>
  </si>
  <si>
    <t>Certificate #</t>
  </si>
  <si>
    <t>Name and County of Municipality</t>
  </si>
  <si>
    <t>Annual Financial Statement - Key Inputs</t>
  </si>
  <si>
    <t>1330</t>
  </si>
  <si>
    <t>Aberdeen Township</t>
  </si>
  <si>
    <t>Monmouth</t>
  </si>
  <si>
    <t>Aberdeen Township, Monmouth County</t>
  </si>
  <si>
    <t>0101</t>
  </si>
  <si>
    <t>Absecon City</t>
  </si>
  <si>
    <t>Atlantic</t>
  </si>
  <si>
    <t>Absecon City, Atlantic County</t>
  </si>
  <si>
    <t>0201</t>
  </si>
  <si>
    <t>Allendale Borough</t>
  </si>
  <si>
    <t>Bergen</t>
  </si>
  <si>
    <t>Allendale Borough, Bergen County</t>
  </si>
  <si>
    <t>1301</t>
  </si>
  <si>
    <t>Allenhurst Borough</t>
  </si>
  <si>
    <t>Allenhurst Borough, Monmouth County</t>
  </si>
  <si>
    <t>1302</t>
  </si>
  <si>
    <t>Allentown Borough</t>
  </si>
  <si>
    <t>Allentown Borough, Monmouth County</t>
  </si>
  <si>
    <t>1701</t>
  </si>
  <si>
    <t>Alloway Township</t>
  </si>
  <si>
    <t>Salem</t>
  </si>
  <si>
    <t>Alloway Township, Salem County</t>
  </si>
  <si>
    <t>2102</t>
  </si>
  <si>
    <t>Alpha Borough</t>
  </si>
  <si>
    <t>Warren</t>
  </si>
  <si>
    <t>Alpha Borough, Warren County</t>
  </si>
  <si>
    <t>0202</t>
  </si>
  <si>
    <t>Alpine Borough</t>
  </si>
  <si>
    <t>Alpine Borough, Bergen County</t>
  </si>
  <si>
    <t>1901</t>
  </si>
  <si>
    <t>Andover Borough</t>
  </si>
  <si>
    <t>Sussex</t>
  </si>
  <si>
    <t>Andover Borough, Sussex County</t>
  </si>
  <si>
    <t>1902</t>
  </si>
  <si>
    <t>Andover Township</t>
  </si>
  <si>
    <t>Andover Township, Sussex County</t>
  </si>
  <si>
    <t>1303</t>
  </si>
  <si>
    <t>Asbury Park City</t>
  </si>
  <si>
    <t>Asbury Park City, Monmouth County</t>
  </si>
  <si>
    <t>0102</t>
  </si>
  <si>
    <t>Atlantic City City</t>
  </si>
  <si>
    <t>Atlantic City City, Atlantic County</t>
  </si>
  <si>
    <t>1304</t>
  </si>
  <si>
    <t>Atlantic Highlands Borough</t>
  </si>
  <si>
    <t>Atlantic Highlands Borough, Monmouth County</t>
  </si>
  <si>
    <t>0401</t>
  </si>
  <si>
    <t>Audubon Borough</t>
  </si>
  <si>
    <t>Camden</t>
  </si>
  <si>
    <t>Audubon Borough, Camden County</t>
  </si>
  <si>
    <t>0402</t>
  </si>
  <si>
    <t>Audubon Park Borough</t>
  </si>
  <si>
    <t>Audubon Park Borough, Camden County</t>
  </si>
  <si>
    <t>0501</t>
  </si>
  <si>
    <t>Avalon Borough</t>
  </si>
  <si>
    <t>Cape May</t>
  </si>
  <si>
    <t>Avalon Borough, Cape May County</t>
  </si>
  <si>
    <t>1305</t>
  </si>
  <si>
    <t>Avon-by-the-Sea Borough</t>
  </si>
  <si>
    <t>Avon-by-the-Sea Borough, Monmouth County</t>
  </si>
  <si>
    <t>1501</t>
  </si>
  <si>
    <t>Barnegat Light Borough</t>
  </si>
  <si>
    <t>Ocean</t>
  </si>
  <si>
    <t>Barnegat Light Borough, Ocean County</t>
  </si>
  <si>
    <t>1533</t>
  </si>
  <si>
    <t>Barnegat Township</t>
  </si>
  <si>
    <t>Barnegat Township, Ocean County</t>
  </si>
  <si>
    <t>0403</t>
  </si>
  <si>
    <t>Barrington Borough</t>
  </si>
  <si>
    <t>Barrington Borough, Camden County</t>
  </si>
  <si>
    <t>0301</t>
  </si>
  <si>
    <t>Bass River Township</t>
  </si>
  <si>
    <t>Burlington</t>
  </si>
  <si>
    <t>Bass River Township, Burlington County</t>
  </si>
  <si>
    <t>1502</t>
  </si>
  <si>
    <t>Bay Head Borough</t>
  </si>
  <si>
    <t>Bay Head Borough, Ocean County</t>
  </si>
  <si>
    <t>0901</t>
  </si>
  <si>
    <t>Bayonne City</t>
  </si>
  <si>
    <t>Hudson</t>
  </si>
  <si>
    <t>Bayonne City, Hudson County</t>
  </si>
  <si>
    <t>1503</t>
  </si>
  <si>
    <t>Beach Haven Borough</t>
  </si>
  <si>
    <t>Beach Haven Borough, Ocean County</t>
  </si>
  <si>
    <t>1504</t>
  </si>
  <si>
    <t>Beachwood Borough</t>
  </si>
  <si>
    <t>Beachwood Borough, Ocean County</t>
  </si>
  <si>
    <t>1801</t>
  </si>
  <si>
    <t>Bedminster Township</t>
  </si>
  <si>
    <t>Somerset</t>
  </si>
  <si>
    <t>Bedminster Township, Somerset County</t>
  </si>
  <si>
    <t>0701</t>
  </si>
  <si>
    <t>Belleville Township</t>
  </si>
  <si>
    <t>Essex</t>
  </si>
  <si>
    <t>Belleville Township, Essex County</t>
  </si>
  <si>
    <t>0404</t>
  </si>
  <si>
    <t>Bellmawr Borough</t>
  </si>
  <si>
    <t>Bellmawr Borough, Camden County</t>
  </si>
  <si>
    <t>1306</t>
  </si>
  <si>
    <t>Belmar Borough</t>
  </si>
  <si>
    <t>Belmar Borough, Monmouth County</t>
  </si>
  <si>
    <t>2103</t>
  </si>
  <si>
    <t>Belvidere Town</t>
  </si>
  <si>
    <t>Belvidere Town, Warren County</t>
  </si>
  <si>
    <t>0203</t>
  </si>
  <si>
    <t>Bergenfield Borough</t>
  </si>
  <si>
    <t>Bergenfield Borough, Bergen County</t>
  </si>
  <si>
    <t>2001</t>
  </si>
  <si>
    <t>Berkeley Heights Township</t>
  </si>
  <si>
    <t>Union</t>
  </si>
  <si>
    <t>Berkeley Heights Township, Union County</t>
  </si>
  <si>
    <t>1505</t>
  </si>
  <si>
    <t>Berkeley Township</t>
  </si>
  <si>
    <t>Berkeley Township, Ocean County</t>
  </si>
  <si>
    <t>0405</t>
  </si>
  <si>
    <t>Berlin Borough</t>
  </si>
  <si>
    <t>Berlin Borough, Camden County</t>
  </si>
  <si>
    <t>0406</t>
  </si>
  <si>
    <t>Berlin Township</t>
  </si>
  <si>
    <t>Berlin Township, Camden County</t>
  </si>
  <si>
    <t>1802</t>
  </si>
  <si>
    <t>Bernards Township</t>
  </si>
  <si>
    <t>Bernards Township, Somerset County</t>
  </si>
  <si>
    <t>1803</t>
  </si>
  <si>
    <t>Bernardsville Borough</t>
  </si>
  <si>
    <t>Bernardsville Borough, Somerset County</t>
  </si>
  <si>
    <t>1002</t>
  </si>
  <si>
    <t>Bethlehem Township</t>
  </si>
  <si>
    <t>Hunterdon</t>
  </si>
  <si>
    <t>Bethlehem Township, Hunterdon County</t>
  </si>
  <si>
    <t>0302</t>
  </si>
  <si>
    <t>Beverly City</t>
  </si>
  <si>
    <t>Beverly City, Burlington County</t>
  </si>
  <si>
    <t>2104</t>
  </si>
  <si>
    <t>Blairstown Township</t>
  </si>
  <si>
    <t>Blairstown Township, Warren County</t>
  </si>
  <si>
    <t>0702</t>
  </si>
  <si>
    <t>Bloomfield Township</t>
  </si>
  <si>
    <t>Bloomfield Township, Essex County</t>
  </si>
  <si>
    <t>1601</t>
  </si>
  <si>
    <t>Bloomingdale Borough</t>
  </si>
  <si>
    <t>Passaic</t>
  </si>
  <si>
    <t>Bloomingdale Borough, Passaic County</t>
  </si>
  <si>
    <t>1003</t>
  </si>
  <si>
    <t>Bloomsbury Borough</t>
  </si>
  <si>
    <t>Bloomsbury Borough, Hunterdon County</t>
  </si>
  <si>
    <t>0204</t>
  </si>
  <si>
    <t>Bogota Borough</t>
  </si>
  <si>
    <t>Bogota Borough, Bergen County</t>
  </si>
  <si>
    <t>1401</t>
  </si>
  <si>
    <t>Boonton Town</t>
  </si>
  <si>
    <t>Morris</t>
  </si>
  <si>
    <t>Boonton Town, Morris County</t>
  </si>
  <si>
    <t>1402</t>
  </si>
  <si>
    <t>Boonton Township</t>
  </si>
  <si>
    <t>Boonton Township, Morris County</t>
  </si>
  <si>
    <t>0303</t>
  </si>
  <si>
    <t>Bordentown City</t>
  </si>
  <si>
    <t>Bordentown City, Burlington County</t>
  </si>
  <si>
    <t>0304</t>
  </si>
  <si>
    <t>Bordentown Township</t>
  </si>
  <si>
    <t>Bordentown Township, Burlington County</t>
  </si>
  <si>
    <t>1804</t>
  </si>
  <si>
    <t>Bound Brook Borough</t>
  </si>
  <si>
    <t>Bound Brook Borough, Somerset County</t>
  </si>
  <si>
    <t>1307</t>
  </si>
  <si>
    <t>Bradley Beach Borough</t>
  </si>
  <si>
    <t>Bradley Beach Borough, Monmouth County</t>
  </si>
  <si>
    <t>1903</t>
  </si>
  <si>
    <t>Branchville Borough</t>
  </si>
  <si>
    <t>Branchville Borough, Sussex County</t>
  </si>
  <si>
    <t>1506</t>
  </si>
  <si>
    <t>Brick Township</t>
  </si>
  <si>
    <t>Brick Township, Ocean County</t>
  </si>
  <si>
    <t>0601</t>
  </si>
  <si>
    <t>Bridgeton City</t>
  </si>
  <si>
    <t>Cumberland</t>
  </si>
  <si>
    <t>Bridgeton City, Cumberland County</t>
  </si>
  <si>
    <t>1806</t>
  </si>
  <si>
    <t>Bridgewater Township</t>
  </si>
  <si>
    <t>Bridgewater Township, Somerset County</t>
  </si>
  <si>
    <t>1308</t>
  </si>
  <si>
    <t>Brielle Borough</t>
  </si>
  <si>
    <t>Brielle Borough, Monmouth County</t>
  </si>
  <si>
    <t>0103</t>
  </si>
  <si>
    <t>Brigantine City</t>
  </si>
  <si>
    <t>Brigantine City, Atlantic County</t>
  </si>
  <si>
    <t>0407</t>
  </si>
  <si>
    <t>Brooklawn Borough</t>
  </si>
  <si>
    <t>Brooklawn Borough, Camden County</t>
  </si>
  <si>
    <t>0104</t>
  </si>
  <si>
    <t>Buena Borough</t>
  </si>
  <si>
    <t>Buena Borough, Atlantic County</t>
  </si>
  <si>
    <t>0105</t>
  </si>
  <si>
    <t>Buena Vista Township</t>
  </si>
  <si>
    <t>Buena Vista Township, Atlantic County</t>
  </si>
  <si>
    <t>0305</t>
  </si>
  <si>
    <t>Burlington City</t>
  </si>
  <si>
    <t>Burlington City, Burlington County</t>
  </si>
  <si>
    <t>0306</t>
  </si>
  <si>
    <t>Burlington Township</t>
  </si>
  <si>
    <t>Burlington Township, Burlington County</t>
  </si>
  <si>
    <t>1403</t>
  </si>
  <si>
    <t>Butler Borough</t>
  </si>
  <si>
    <t>Butler Borough, Morris County</t>
  </si>
  <si>
    <t>1904</t>
  </si>
  <si>
    <t>Byram Township</t>
  </si>
  <si>
    <t>Byram Township, Sussex County</t>
  </si>
  <si>
    <t>0703</t>
  </si>
  <si>
    <t>1004</t>
  </si>
  <si>
    <t>Califon Borough</t>
  </si>
  <si>
    <t>Califon Borough, Hunterdon County</t>
  </si>
  <si>
    <t>0408</t>
  </si>
  <si>
    <t>Camden City</t>
  </si>
  <si>
    <t>Camden City, Camden County</t>
  </si>
  <si>
    <t>0502</t>
  </si>
  <si>
    <t>Cape May City</t>
  </si>
  <si>
    <t>Cape May City, Cape May County</t>
  </si>
  <si>
    <t>0503</t>
  </si>
  <si>
    <t>Cape May Point Borough</t>
  </si>
  <si>
    <t>Cape May Point Borough, Cape May County</t>
  </si>
  <si>
    <t>0205</t>
  </si>
  <si>
    <t>Carlstadt Borough</t>
  </si>
  <si>
    <t>Carlstadt Borough, Bergen County</t>
  </si>
  <si>
    <t>1713</t>
  </si>
  <si>
    <t>Carneys Point Township</t>
  </si>
  <si>
    <t>Carneys Point Township, Salem County</t>
  </si>
  <si>
    <t>1201</t>
  </si>
  <si>
    <t>Carteret Borough</t>
  </si>
  <si>
    <t>Middlesex</t>
  </si>
  <si>
    <t>Carteret Borough, Middlesex County</t>
  </si>
  <si>
    <t>0704</t>
  </si>
  <si>
    <t>Cedar Grove Township</t>
  </si>
  <si>
    <t>Cedar Grove Township, Essex County</t>
  </si>
  <si>
    <t>1404</t>
  </si>
  <si>
    <t>Chatham Borough</t>
  </si>
  <si>
    <t>Chatham Borough, Morris County</t>
  </si>
  <si>
    <t>1405</t>
  </si>
  <si>
    <t>Chatham Township</t>
  </si>
  <si>
    <t>Chatham Township, Morris County</t>
  </si>
  <si>
    <t>0409</t>
  </si>
  <si>
    <t>Cherry Hill Township</t>
  </si>
  <si>
    <t>Cherry Hill Township, Camden County</t>
  </si>
  <si>
    <t>0410</t>
  </si>
  <si>
    <t>Chesilhurst Borough</t>
  </si>
  <si>
    <t>Chesilhurst Borough, Camden County</t>
  </si>
  <si>
    <t>1406</t>
  </si>
  <si>
    <t>Chester Borough</t>
  </si>
  <si>
    <t>Chester Borough, Morris County</t>
  </si>
  <si>
    <t>1407</t>
  </si>
  <si>
    <t>Chester Township</t>
  </si>
  <si>
    <t>Chester Township, Morris County</t>
  </si>
  <si>
    <t>0307</t>
  </si>
  <si>
    <t>Chesterfield Township</t>
  </si>
  <si>
    <t>Chesterfield Township, Burlington County</t>
  </si>
  <si>
    <t>0308</t>
  </si>
  <si>
    <t>Cinnaminson Township</t>
  </si>
  <si>
    <t>Cinnaminson Township, Burlington County</t>
  </si>
  <si>
    <t>2002</t>
  </si>
  <si>
    <t>Clark Township</t>
  </si>
  <si>
    <t>Clark Township, Union County</t>
  </si>
  <si>
    <t>0801</t>
  </si>
  <si>
    <t>Clayton Borough</t>
  </si>
  <si>
    <t>Gloucester</t>
  </si>
  <si>
    <t>Clayton Borough, Gloucester County</t>
  </si>
  <si>
    <t>0411</t>
  </si>
  <si>
    <t>Clementon Borough</t>
  </si>
  <si>
    <t>Clementon Borough, Camden County</t>
  </si>
  <si>
    <t>0206</t>
  </si>
  <si>
    <t>Cliffside Park Borough</t>
  </si>
  <si>
    <t>Cliffside Park Borough, Bergen County</t>
  </si>
  <si>
    <t>1602</t>
  </si>
  <si>
    <t>Clifton City</t>
  </si>
  <si>
    <t>Clifton City, Passaic County</t>
  </si>
  <si>
    <t>1005</t>
  </si>
  <si>
    <t>Clinton Town</t>
  </si>
  <si>
    <t>Clinton Town, Hunterdon County</t>
  </si>
  <si>
    <t>1006</t>
  </si>
  <si>
    <t>Clinton Township</t>
  </si>
  <si>
    <t>Clinton Township, Hunterdon County</t>
  </si>
  <si>
    <t>0207</t>
  </si>
  <si>
    <t>Closter Borough</t>
  </si>
  <si>
    <t>Closter Borough, Bergen County</t>
  </si>
  <si>
    <t>0412</t>
  </si>
  <si>
    <t>Collingswood Borough</t>
  </si>
  <si>
    <t>Collingswood Borough, Camden County</t>
  </si>
  <si>
    <t>1309</t>
  </si>
  <si>
    <t>Colts Neck Township</t>
  </si>
  <si>
    <t>Colts Neck Township, Monmouth County</t>
  </si>
  <si>
    <t>0602</t>
  </si>
  <si>
    <t>Commercial Township</t>
  </si>
  <si>
    <t>Commercial Township, Cumberland County</t>
  </si>
  <si>
    <t>0106</t>
  </si>
  <si>
    <t>Corbin City</t>
  </si>
  <si>
    <t>Corbin City, Atlantic County</t>
  </si>
  <si>
    <t>1202</t>
  </si>
  <si>
    <t>Cranbury Township</t>
  </si>
  <si>
    <t>Cranbury Township, Middlesex County</t>
  </si>
  <si>
    <t>2003</t>
  </si>
  <si>
    <t>Cranford Township</t>
  </si>
  <si>
    <t>Cranford Township, Union County</t>
  </si>
  <si>
    <t>0208</t>
  </si>
  <si>
    <t>Cresskill Borough</t>
  </si>
  <si>
    <t>Cresskill Borough, Bergen County</t>
  </si>
  <si>
    <t>1310</t>
  </si>
  <si>
    <t>Deal Borough</t>
  </si>
  <si>
    <t>Deal Borough, Monmouth County</t>
  </si>
  <si>
    <t>0603</t>
  </si>
  <si>
    <t>Deerfield Township</t>
  </si>
  <si>
    <t>Deerfield Township, Cumberland County</t>
  </si>
  <si>
    <t>0309</t>
  </si>
  <si>
    <t>Delanco Township</t>
  </si>
  <si>
    <t>Delanco Township, Burlington County</t>
  </si>
  <si>
    <t>1007</t>
  </si>
  <si>
    <t>Delaware Township</t>
  </si>
  <si>
    <t>Delaware Township, Hunterdon County</t>
  </si>
  <si>
    <t>0310</t>
  </si>
  <si>
    <t>Delran Township</t>
  </si>
  <si>
    <t>Delran Township, Burlington County</t>
  </si>
  <si>
    <t>0209</t>
  </si>
  <si>
    <t>Demarest Borough</t>
  </si>
  <si>
    <t>Demarest Borough, Bergen County</t>
  </si>
  <si>
    <t>0504</t>
  </si>
  <si>
    <t>Dennis Township</t>
  </si>
  <si>
    <t>Dennis Township, Cape May County</t>
  </si>
  <si>
    <t>1408</t>
  </si>
  <si>
    <t>Denville Township</t>
  </si>
  <si>
    <t>Denville Township, Morris County</t>
  </si>
  <si>
    <t>0802</t>
  </si>
  <si>
    <t>Deptford Township</t>
  </si>
  <si>
    <t>Deptford Township, Gloucester County</t>
  </si>
  <si>
    <t>1409</t>
  </si>
  <si>
    <t>Dover Town</t>
  </si>
  <si>
    <t>Dover Town, Morris County</t>
  </si>
  <si>
    <t>0604</t>
  </si>
  <si>
    <t>Downe Township</t>
  </si>
  <si>
    <t>Downe Township, Cumberland County</t>
  </si>
  <si>
    <t>0210</t>
  </si>
  <si>
    <t>Dumont Borough</t>
  </si>
  <si>
    <t>Dumont Borough, Bergen County</t>
  </si>
  <si>
    <t>1203</t>
  </si>
  <si>
    <t>Dunellen Borough</t>
  </si>
  <si>
    <t>Dunellen Borough, Middlesex County</t>
  </si>
  <si>
    <t>1508</t>
  </si>
  <si>
    <t>Eagleswood Township</t>
  </si>
  <si>
    <t>Eagleswood Township, Ocean County</t>
  </si>
  <si>
    <t>1008</t>
  </si>
  <si>
    <t>East Amwell Township</t>
  </si>
  <si>
    <t>East Amwell Township, Hunterdon County</t>
  </si>
  <si>
    <t>1204</t>
  </si>
  <si>
    <t>East Brunswick Township</t>
  </si>
  <si>
    <t>East Brunswick Township, Middlesex County</t>
  </si>
  <si>
    <t>0803</t>
  </si>
  <si>
    <t>East Greenwich Township</t>
  </si>
  <si>
    <t>East Greenwich Township, Gloucester County</t>
  </si>
  <si>
    <t>1410</t>
  </si>
  <si>
    <t>East Hanover Township</t>
  </si>
  <si>
    <t>East Hanover Township, Morris County</t>
  </si>
  <si>
    <t>0902</t>
  </si>
  <si>
    <t>East Newark Borough</t>
  </si>
  <si>
    <t>East Newark Borough, Hudson County</t>
  </si>
  <si>
    <t>0705</t>
  </si>
  <si>
    <t>East Orange City</t>
  </si>
  <si>
    <t>East Orange City, Essex County</t>
  </si>
  <si>
    <t>0212</t>
  </si>
  <si>
    <t>East Rutherford Borough</t>
  </si>
  <si>
    <t>East Rutherford Borough, Bergen County</t>
  </si>
  <si>
    <t>1101</t>
  </si>
  <si>
    <t>East Windsor Township</t>
  </si>
  <si>
    <t>Mercer</t>
  </si>
  <si>
    <t>East Windsor Township, Mercer County</t>
  </si>
  <si>
    <t>0311</t>
  </si>
  <si>
    <t>Eastampton Township</t>
  </si>
  <si>
    <t>Eastampton Township, Burlington County</t>
  </si>
  <si>
    <t>1311</t>
  </si>
  <si>
    <t>Eatontown Borough</t>
  </si>
  <si>
    <t>Eatontown Borough, Monmouth County</t>
  </si>
  <si>
    <t>0213</t>
  </si>
  <si>
    <t>Edgewater Borough</t>
  </si>
  <si>
    <t>Edgewater Borough, Bergen County</t>
  </si>
  <si>
    <t>0312</t>
  </si>
  <si>
    <t>Edgewater Park Township</t>
  </si>
  <si>
    <t>Edgewater Park Township, Burlington County</t>
  </si>
  <si>
    <t>1205</t>
  </si>
  <si>
    <t>Edison Township</t>
  </si>
  <si>
    <t>Edison Township, Middlesex County</t>
  </si>
  <si>
    <t>0107</t>
  </si>
  <si>
    <t>Egg Harbor City</t>
  </si>
  <si>
    <t>Egg Harbor City, Atlantic County</t>
  </si>
  <si>
    <t>0108</t>
  </si>
  <si>
    <t>Egg Harbor Township</t>
  </si>
  <si>
    <t>Egg Harbor Township, Atlantic County</t>
  </si>
  <si>
    <t>2004</t>
  </si>
  <si>
    <t>Elizabeth City</t>
  </si>
  <si>
    <t>Elizabeth City, Union County</t>
  </si>
  <si>
    <t>0804</t>
  </si>
  <si>
    <t>Elk Township</t>
  </si>
  <si>
    <t>Elk Township, Gloucester County</t>
  </si>
  <si>
    <t>1702</t>
  </si>
  <si>
    <t>Elmer Borough</t>
  </si>
  <si>
    <t>Elmer Borough, Salem County</t>
  </si>
  <si>
    <t>0211</t>
  </si>
  <si>
    <t>Elmwood Park Borough</t>
  </si>
  <si>
    <t>Elmwood Park Borough, Bergen County</t>
  </si>
  <si>
    <t>1703</t>
  </si>
  <si>
    <t>Elsinboro Township</t>
  </si>
  <si>
    <t>Elsinboro Township, Salem County</t>
  </si>
  <si>
    <t>0214</t>
  </si>
  <si>
    <t>Emerson Borough</t>
  </si>
  <si>
    <t>Emerson Borough, Bergen County</t>
  </si>
  <si>
    <t>0215</t>
  </si>
  <si>
    <t>Englewood City</t>
  </si>
  <si>
    <t>Englewood City, Bergen County</t>
  </si>
  <si>
    <t>0216</t>
  </si>
  <si>
    <t>Englewood Cliffs Borough</t>
  </si>
  <si>
    <t>Englewood Cliffs Borough, Bergen County</t>
  </si>
  <si>
    <t>1312</t>
  </si>
  <si>
    <t>Englishtown Borough</t>
  </si>
  <si>
    <t>Englishtown Borough, Monmouth County</t>
  </si>
  <si>
    <t>0706</t>
  </si>
  <si>
    <t>Essex Fells Township</t>
  </si>
  <si>
    <t>Essex Fells Township, Essex County</t>
  </si>
  <si>
    <t>0109</t>
  </si>
  <si>
    <t>Estell Manor City</t>
  </si>
  <si>
    <t>Estell Manor City, Atlantic County</t>
  </si>
  <si>
    <t>0313</t>
  </si>
  <si>
    <t>Evesham Township</t>
  </si>
  <si>
    <t>Evesham Township, Burlington County</t>
  </si>
  <si>
    <t>1102</t>
  </si>
  <si>
    <t>Ewing Township</t>
  </si>
  <si>
    <t>Ewing Township, Mercer County</t>
  </si>
  <si>
    <t>1313</t>
  </si>
  <si>
    <t>Fair Haven Borough</t>
  </si>
  <si>
    <t>Fair Haven Borough, Monmouth County</t>
  </si>
  <si>
    <t>0217</t>
  </si>
  <si>
    <t>Fair Lawn Borough</t>
  </si>
  <si>
    <t>Fair Lawn Borough, Bergen County</t>
  </si>
  <si>
    <t>0605</t>
  </si>
  <si>
    <t>Fairfield Township</t>
  </si>
  <si>
    <t>Fairfield Township, Cumberland County</t>
  </si>
  <si>
    <t>0707</t>
  </si>
  <si>
    <t>Fairfield Township, Essex County</t>
  </si>
  <si>
    <t>0218</t>
  </si>
  <si>
    <t>Fairview Borough</t>
  </si>
  <si>
    <t>Fairview Borough, Bergen County</t>
  </si>
  <si>
    <t>2005</t>
  </si>
  <si>
    <t>Fanwood Borough</t>
  </si>
  <si>
    <t>Fanwood Borough, Union County</t>
  </si>
  <si>
    <t>1807</t>
  </si>
  <si>
    <t>Far Hills Borough</t>
  </si>
  <si>
    <t>Far Hills Borough, Somerset County</t>
  </si>
  <si>
    <t>1314</t>
  </si>
  <si>
    <t>Farmingdale Borough</t>
  </si>
  <si>
    <t>Farmingdale Borough, Monmouth County</t>
  </si>
  <si>
    <t>0314</t>
  </si>
  <si>
    <t>Fieldsboro Borough</t>
  </si>
  <si>
    <t>Fieldsboro Borough, Burlington County</t>
  </si>
  <si>
    <t>1009</t>
  </si>
  <si>
    <t>Flemington Borough</t>
  </si>
  <si>
    <t>Flemington Borough, Hunterdon County</t>
  </si>
  <si>
    <t>0315</t>
  </si>
  <si>
    <t>Florence Township</t>
  </si>
  <si>
    <t>Florence Township, Burlington County</t>
  </si>
  <si>
    <t>1411</t>
  </si>
  <si>
    <t>Florham Park Borough</t>
  </si>
  <si>
    <t>Florham Park Borough, Morris County</t>
  </si>
  <si>
    <t>0110</t>
  </si>
  <si>
    <t>Folsom Borough</t>
  </si>
  <si>
    <t>Folsom Borough, Atlantic County</t>
  </si>
  <si>
    <t>0219</t>
  </si>
  <si>
    <t>Fort Lee Borough</t>
  </si>
  <si>
    <t>Fort Lee Borough, Bergen County</t>
  </si>
  <si>
    <t>1905</t>
  </si>
  <si>
    <t>Frankford Township</t>
  </si>
  <si>
    <t>Frankford Township, Sussex County</t>
  </si>
  <si>
    <t>1906</t>
  </si>
  <si>
    <t>Franklin Borough</t>
  </si>
  <si>
    <t>Franklin Borough, Sussex County</t>
  </si>
  <si>
    <t>0220</t>
  </si>
  <si>
    <t>Franklin Lakes Borough</t>
  </si>
  <si>
    <t>Franklin Lakes Borough, Bergen County</t>
  </si>
  <si>
    <t>0805</t>
  </si>
  <si>
    <t>Franklin Township</t>
  </si>
  <si>
    <t>Franklin Township, Gloucester County</t>
  </si>
  <si>
    <t>1010</t>
  </si>
  <si>
    <t>Franklin Township, Hunterdon County</t>
  </si>
  <si>
    <t>1808</t>
  </si>
  <si>
    <t>Franklin Township, Somerset County</t>
  </si>
  <si>
    <t>2105</t>
  </si>
  <si>
    <t>Franklin Township, Warren County</t>
  </si>
  <si>
    <t>1907</t>
  </si>
  <si>
    <t>Fredon Township</t>
  </si>
  <si>
    <t>Fredon Township, Sussex County</t>
  </si>
  <si>
    <t>1315</t>
  </si>
  <si>
    <t>Freehold Borough</t>
  </si>
  <si>
    <t>Freehold Borough, Monmouth County</t>
  </si>
  <si>
    <t>1316</t>
  </si>
  <si>
    <t>Freehold Township</t>
  </si>
  <si>
    <t>Freehold Township, Monmouth County</t>
  </si>
  <si>
    <t>2106</t>
  </si>
  <si>
    <t>Frelinghuysen Township</t>
  </si>
  <si>
    <t>Frelinghuysen Township, Warren County</t>
  </si>
  <si>
    <t>1011</t>
  </si>
  <si>
    <t>Frenchtown Borough</t>
  </si>
  <si>
    <t>Frenchtown Borough, Hunterdon County</t>
  </si>
  <si>
    <t>0111</t>
  </si>
  <si>
    <t>Galloway Township</t>
  </si>
  <si>
    <t>Galloway Township, Atlantic County</t>
  </si>
  <si>
    <t>0221</t>
  </si>
  <si>
    <t>Garfield City</t>
  </si>
  <si>
    <t>Garfield City, Bergen County</t>
  </si>
  <si>
    <t>2006</t>
  </si>
  <si>
    <t>Garwood Borough</t>
  </si>
  <si>
    <t>Garwood Borough, Union County</t>
  </si>
  <si>
    <t>0413</t>
  </si>
  <si>
    <t>Gibbsboro Borough</t>
  </si>
  <si>
    <t>Gibbsboro Borough, Camden County</t>
  </si>
  <si>
    <t>0806</t>
  </si>
  <si>
    <t>Glassboro Borough</t>
  </si>
  <si>
    <t>Glassboro Borough, Gloucester County</t>
  </si>
  <si>
    <t>1012</t>
  </si>
  <si>
    <t>Glen Gardner Borough</t>
  </si>
  <si>
    <t>Glen Gardner Borough, Hunterdon County</t>
  </si>
  <si>
    <t>0708</t>
  </si>
  <si>
    <t>Glen Ridge Borough</t>
  </si>
  <si>
    <t>Glen Ridge Borough, Essex County</t>
  </si>
  <si>
    <t>0222</t>
  </si>
  <si>
    <t>Glen Rock Borough</t>
  </si>
  <si>
    <t>Glen Rock Borough, Bergen County</t>
  </si>
  <si>
    <t>0414</t>
  </si>
  <si>
    <t>Gloucester City City</t>
  </si>
  <si>
    <t>Gloucester City City, Camden County</t>
  </si>
  <si>
    <t>0415</t>
  </si>
  <si>
    <t>Gloucester Township</t>
  </si>
  <si>
    <t>Gloucester Township, Camden County</t>
  </si>
  <si>
    <t>1809</t>
  </si>
  <si>
    <t>Green Brook Township</t>
  </si>
  <si>
    <t>Green Brook Township, Somerset County</t>
  </si>
  <si>
    <t>1908</t>
  </si>
  <si>
    <t>Green Township</t>
  </si>
  <si>
    <t>Green Township, Sussex County</t>
  </si>
  <si>
    <t>0606</t>
  </si>
  <si>
    <t>Greenwich Township</t>
  </si>
  <si>
    <t>Greenwich Township, Cumberland County</t>
  </si>
  <si>
    <t>0807</t>
  </si>
  <si>
    <t>Greenwich Township, Gloucester County</t>
  </si>
  <si>
    <t>2107</t>
  </si>
  <si>
    <t>Greenwich Township, Warren County</t>
  </si>
  <si>
    <t>0903</t>
  </si>
  <si>
    <t>Guttenberg Town</t>
  </si>
  <si>
    <t>Guttenberg Town, Hudson County</t>
  </si>
  <si>
    <t>0223</t>
  </si>
  <si>
    <t>Hackensack City</t>
  </si>
  <si>
    <t>Hackensack City, Bergen County</t>
  </si>
  <si>
    <t>2108</t>
  </si>
  <si>
    <t>Hackettstown Town</t>
  </si>
  <si>
    <t>Hackettstown Town, Warren County</t>
  </si>
  <si>
    <t>0418</t>
  </si>
  <si>
    <t>Haddon Heights Borough</t>
  </si>
  <si>
    <t>Haddon Heights Borough, Camden County</t>
  </si>
  <si>
    <t>0416</t>
  </si>
  <si>
    <t>Haddon Township</t>
  </si>
  <si>
    <t>Haddon Township, Camden County</t>
  </si>
  <si>
    <t>0417</t>
  </si>
  <si>
    <t>Haddonfield Borough</t>
  </si>
  <si>
    <t>Haddonfield Borough, Camden County</t>
  </si>
  <si>
    <t>0316</t>
  </si>
  <si>
    <t>Hainesport Township</t>
  </si>
  <si>
    <t>Hainesport Township, Burlington County</t>
  </si>
  <si>
    <t>1603</t>
  </si>
  <si>
    <t>Haledon Borough</t>
  </si>
  <si>
    <t>Haledon Borough, Passaic County</t>
  </si>
  <si>
    <t>1909</t>
  </si>
  <si>
    <t>Hamburg Borough</t>
  </si>
  <si>
    <t>Hamburg Borough, Sussex County</t>
  </si>
  <si>
    <t>0112</t>
  </si>
  <si>
    <t>Hamilton Township</t>
  </si>
  <si>
    <t>Hamilton Township, Atlantic County</t>
  </si>
  <si>
    <t>1103</t>
  </si>
  <si>
    <t>Hamilton Township, Mercer County</t>
  </si>
  <si>
    <t>0113</t>
  </si>
  <si>
    <t>Hammonton Township</t>
  </si>
  <si>
    <t>Hammonton Township, Atlantic County</t>
  </si>
  <si>
    <t>1013</t>
  </si>
  <si>
    <t>Hampton Borough</t>
  </si>
  <si>
    <t>Hampton Borough, Hunterdon County</t>
  </si>
  <si>
    <t>1910</t>
  </si>
  <si>
    <t>Hampton Township</t>
  </si>
  <si>
    <t>Hampton Township, Sussex County</t>
  </si>
  <si>
    <t>1412</t>
  </si>
  <si>
    <t>Hanover Township</t>
  </si>
  <si>
    <t>Hanover Township, Morris County</t>
  </si>
  <si>
    <t>1413</t>
  </si>
  <si>
    <t>Harding Township</t>
  </si>
  <si>
    <t>Harding Township, Morris County</t>
  </si>
  <si>
    <t>2109</t>
  </si>
  <si>
    <t>Hardwick Township</t>
  </si>
  <si>
    <t>Hardwick Township, Warren County</t>
  </si>
  <si>
    <t>1911</t>
  </si>
  <si>
    <t>Hardyston Township</t>
  </si>
  <si>
    <t>Hardyston Township, Sussex County</t>
  </si>
  <si>
    <t>2110</t>
  </si>
  <si>
    <t>Harmony Township</t>
  </si>
  <si>
    <t>Harmony Township, Warren County</t>
  </si>
  <si>
    <t>0224</t>
  </si>
  <si>
    <t>Harrington Park Borough</t>
  </si>
  <si>
    <t>Harrington Park Borough, Bergen County</t>
  </si>
  <si>
    <t>0904</t>
  </si>
  <si>
    <t>Harrison Town</t>
  </si>
  <si>
    <t>Harrison Town, Hudson County</t>
  </si>
  <si>
    <t>0808</t>
  </si>
  <si>
    <t>Harrison Township</t>
  </si>
  <si>
    <t>Harrison Township, Gloucester County</t>
  </si>
  <si>
    <t>1509</t>
  </si>
  <si>
    <t>Harvey Cedars Borough</t>
  </si>
  <si>
    <t>Harvey Cedars Borough, Ocean County</t>
  </si>
  <si>
    <t>0225</t>
  </si>
  <si>
    <t>Hasbrouck Heights Borough</t>
  </si>
  <si>
    <t>Hasbrouck Heights Borough, Bergen County</t>
  </si>
  <si>
    <t>0226</t>
  </si>
  <si>
    <t>Haworth Borough</t>
  </si>
  <si>
    <t>Haworth Borough, Bergen County</t>
  </si>
  <si>
    <t>1604</t>
  </si>
  <si>
    <t>Hawthorne Borough</t>
  </si>
  <si>
    <t>Hawthorne Borough, Passaic County</t>
  </si>
  <si>
    <t>1339</t>
  </si>
  <si>
    <t>Hazlet Township</t>
  </si>
  <si>
    <t>Hazlet Township, Monmouth County</t>
  </si>
  <si>
    <t>1206</t>
  </si>
  <si>
    <t>Helmetta Borough</t>
  </si>
  <si>
    <t>Helmetta Borough, Middlesex County</t>
  </si>
  <si>
    <t>1014</t>
  </si>
  <si>
    <t>High Bridge Borough</t>
  </si>
  <si>
    <t>High Bridge Borough, Hunterdon County</t>
  </si>
  <si>
    <t>1207</t>
  </si>
  <si>
    <t>Highland Park Borough</t>
  </si>
  <si>
    <t>Highland Park Borough, Middlesex County</t>
  </si>
  <si>
    <t>1317</t>
  </si>
  <si>
    <t>Highlands Borough</t>
  </si>
  <si>
    <t>Highlands Borough, Monmouth County</t>
  </si>
  <si>
    <t>1104</t>
  </si>
  <si>
    <t>Hightstown Borough</t>
  </si>
  <si>
    <t>Hightstown Borough, Mercer County</t>
  </si>
  <si>
    <t>1810</t>
  </si>
  <si>
    <t>Hillsborough Township</t>
  </si>
  <si>
    <t>Hillsborough Township, Somerset County</t>
  </si>
  <si>
    <t>0227</t>
  </si>
  <si>
    <t>Hillsdale Borough</t>
  </si>
  <si>
    <t>Hillsdale Borough, Bergen County</t>
  </si>
  <si>
    <t>2007</t>
  </si>
  <si>
    <t>Hillside Township</t>
  </si>
  <si>
    <t>Hillside Township, Union County</t>
  </si>
  <si>
    <t>0419</t>
  </si>
  <si>
    <t>Hi-nella Borough</t>
  </si>
  <si>
    <t>Hi-nella Borough, Camden County</t>
  </si>
  <si>
    <t>0905</t>
  </si>
  <si>
    <t>Hoboken City</t>
  </si>
  <si>
    <t>Hoboken City, Hudson County</t>
  </si>
  <si>
    <t>0228</t>
  </si>
  <si>
    <t>Ho-Ho-Kus Borough</t>
  </si>
  <si>
    <t>Ho-Ho-Kus Borough, Bergen County</t>
  </si>
  <si>
    <t>1015</t>
  </si>
  <si>
    <t>Holland Township</t>
  </si>
  <si>
    <t>Holland Township, Hunterdon County</t>
  </si>
  <si>
    <t>1318</t>
  </si>
  <si>
    <t>Holmdel Township</t>
  </si>
  <si>
    <t>Holmdel Township, Monmouth County</t>
  </si>
  <si>
    <t>1912</t>
  </si>
  <si>
    <t>Hopatcong Borough</t>
  </si>
  <si>
    <t>Hopatcong Borough, Sussex County</t>
  </si>
  <si>
    <t>2111</t>
  </si>
  <si>
    <t>Hope Township</t>
  </si>
  <si>
    <t>Hope Township, Warren County</t>
  </si>
  <si>
    <t>1105</t>
  </si>
  <si>
    <t>Hopewell Borough</t>
  </si>
  <si>
    <t>Hopewell Borough, Mercer County</t>
  </si>
  <si>
    <t>0607</t>
  </si>
  <si>
    <t>Hopewell Township</t>
  </si>
  <si>
    <t>Hopewell Township, Cumberland County</t>
  </si>
  <si>
    <t>1106</t>
  </si>
  <si>
    <t>Hopewell Township, Mercer County</t>
  </si>
  <si>
    <t>1319</t>
  </si>
  <si>
    <t>Howell Township</t>
  </si>
  <si>
    <t>Howell Township, Monmouth County</t>
  </si>
  <si>
    <t>2112</t>
  </si>
  <si>
    <t>Independence Township</t>
  </si>
  <si>
    <t>Independence Township, Warren County</t>
  </si>
  <si>
    <t>1320</t>
  </si>
  <si>
    <t>Interlaken Borough</t>
  </si>
  <si>
    <t>Interlaken Borough, Monmouth County</t>
  </si>
  <si>
    <t>0709</t>
  </si>
  <si>
    <t>Irvington Township</t>
  </si>
  <si>
    <t>Irvington Township, Essex County</t>
  </si>
  <si>
    <t>1510</t>
  </si>
  <si>
    <t>Island Heights Borough</t>
  </si>
  <si>
    <t>Island Heights Borough, Ocean County</t>
  </si>
  <si>
    <t>1511</t>
  </si>
  <si>
    <t>Jackson Township</t>
  </si>
  <si>
    <t>Jackson Township, Ocean County</t>
  </si>
  <si>
    <t>1208</t>
  </si>
  <si>
    <t>Jamesburg Borough</t>
  </si>
  <si>
    <t>Jamesburg Borough, Middlesex County</t>
  </si>
  <si>
    <t>1414</t>
  </si>
  <si>
    <t>Jefferson Township</t>
  </si>
  <si>
    <t>Jefferson Township, Morris County</t>
  </si>
  <si>
    <t>0906</t>
  </si>
  <si>
    <t>Jersey City City</t>
  </si>
  <si>
    <t>Jersey City City, Hudson County</t>
  </si>
  <si>
    <t>1321</t>
  </si>
  <si>
    <t>Keansburg Borough</t>
  </si>
  <si>
    <t>Keansburg Borough, Monmouth County</t>
  </si>
  <si>
    <t>0907</t>
  </si>
  <si>
    <t>Kearny Town</t>
  </si>
  <si>
    <t>Kearny Town, Hudson County</t>
  </si>
  <si>
    <t>2008</t>
  </si>
  <si>
    <t>Kenilworth Borough</t>
  </si>
  <si>
    <t>Kenilworth Borough, Union County</t>
  </si>
  <si>
    <t>1322</t>
  </si>
  <si>
    <t>Keyport Borough</t>
  </si>
  <si>
    <t>Keyport Borough, Monmouth County</t>
  </si>
  <si>
    <t>1016</t>
  </si>
  <si>
    <t>Kingwood Township</t>
  </si>
  <si>
    <t>Kingwood Township, Hunterdon County</t>
  </si>
  <si>
    <t>1415</t>
  </si>
  <si>
    <t>Kinnelon Borough</t>
  </si>
  <si>
    <t>Kinnelon Borough, Morris County</t>
  </si>
  <si>
    <t>2113</t>
  </si>
  <si>
    <t>Knowlton Township</t>
  </si>
  <si>
    <t>Knowlton Township, Warren County</t>
  </si>
  <si>
    <t>1512</t>
  </si>
  <si>
    <t>Lacey Township</t>
  </si>
  <si>
    <t>Lacey Township, Ocean County</t>
  </si>
  <si>
    <t>1913</t>
  </si>
  <si>
    <t>Lafayette Township</t>
  </si>
  <si>
    <t>Lafayette Township, Sussex County</t>
  </si>
  <si>
    <t>1347</t>
  </si>
  <si>
    <t>1513</t>
  </si>
  <si>
    <t>Lakehurst Borough</t>
  </si>
  <si>
    <t>Lakehurst Borough, Ocean County</t>
  </si>
  <si>
    <t>1514</t>
  </si>
  <si>
    <t>Lakewood Township</t>
  </si>
  <si>
    <t>Lakewood Township, Ocean County</t>
  </si>
  <si>
    <t>1017</t>
  </si>
  <si>
    <t>Lambertville City</t>
  </si>
  <si>
    <t>Lambertville City, Hunterdon County</t>
  </si>
  <si>
    <t>0420</t>
  </si>
  <si>
    <t>Laurel Springs Borough</t>
  </si>
  <si>
    <t>Laurel Springs Borough, Camden County</t>
  </si>
  <si>
    <t>1515</t>
  </si>
  <si>
    <t>Lavallette Borough</t>
  </si>
  <si>
    <t>Lavallette Borough, Ocean County</t>
  </si>
  <si>
    <t>0421</t>
  </si>
  <si>
    <t>Lawnside Borough</t>
  </si>
  <si>
    <t>Lawnside Borough, Camden County</t>
  </si>
  <si>
    <t>0608</t>
  </si>
  <si>
    <t>Lawrence Township</t>
  </si>
  <si>
    <t>Lawrence Township, Cumberland County</t>
  </si>
  <si>
    <t>1107</t>
  </si>
  <si>
    <t>Lawrence Township, Mercer County</t>
  </si>
  <si>
    <t>1018</t>
  </si>
  <si>
    <t>Lebanon Borough</t>
  </si>
  <si>
    <t>Lebanon Borough, Hunterdon County</t>
  </si>
  <si>
    <t>1019</t>
  </si>
  <si>
    <t>Lebanon Township</t>
  </si>
  <si>
    <t>Lebanon Township, Hunterdon County</t>
  </si>
  <si>
    <t>0229</t>
  </si>
  <si>
    <t>Leonia Borough</t>
  </si>
  <si>
    <t>Leonia Borough, Bergen County</t>
  </si>
  <si>
    <t>2114</t>
  </si>
  <si>
    <t>Liberty Township</t>
  </si>
  <si>
    <t>Liberty Township, Warren County</t>
  </si>
  <si>
    <t>1416</t>
  </si>
  <si>
    <t>Lincoln Park Borough</t>
  </si>
  <si>
    <t>Lincoln Park Borough, Morris County</t>
  </si>
  <si>
    <t>2009</t>
  </si>
  <si>
    <t>Linden City</t>
  </si>
  <si>
    <t>Linden City, Union County</t>
  </si>
  <si>
    <t>0422</t>
  </si>
  <si>
    <t>Lindenwold Borough</t>
  </si>
  <si>
    <t>Lindenwold Borough, Camden County</t>
  </si>
  <si>
    <t>0114</t>
  </si>
  <si>
    <t>Linwood City</t>
  </si>
  <si>
    <t>Linwood City, Atlantic County</t>
  </si>
  <si>
    <t>1516</t>
  </si>
  <si>
    <t>Little Egg Harbor Township</t>
  </si>
  <si>
    <t>Little Egg Harbor Township, Ocean County</t>
  </si>
  <si>
    <t>1605</t>
  </si>
  <si>
    <t>Little Falls Township</t>
  </si>
  <si>
    <t>Little Falls Township, Passaic County</t>
  </si>
  <si>
    <t>0230</t>
  </si>
  <si>
    <t>Little Ferry Borough</t>
  </si>
  <si>
    <t>Little Ferry Borough, Bergen County</t>
  </si>
  <si>
    <t>1323</t>
  </si>
  <si>
    <t>Little Silver Borough</t>
  </si>
  <si>
    <t>Little Silver Borough, Monmouth County</t>
  </si>
  <si>
    <t>0710</t>
  </si>
  <si>
    <t>Livingston Township</t>
  </si>
  <si>
    <t>Livingston Township, Essex County</t>
  </si>
  <si>
    <t>1324</t>
  </si>
  <si>
    <t>Loch Arbour Village</t>
  </si>
  <si>
    <t>Loch Arbour Village, Monmouth County</t>
  </si>
  <si>
    <t>0231</t>
  </si>
  <si>
    <t>Lodi Borough</t>
  </si>
  <si>
    <t>Lodi Borough, Bergen County</t>
  </si>
  <si>
    <t>0809</t>
  </si>
  <si>
    <t>Logan Township</t>
  </si>
  <si>
    <t>Logan Township, Gloucester County</t>
  </si>
  <si>
    <t>1517</t>
  </si>
  <si>
    <t>Long Beach Township</t>
  </si>
  <si>
    <t>Long Beach Township, Ocean County</t>
  </si>
  <si>
    <t>1325</t>
  </si>
  <si>
    <t>Long Branch City</t>
  </si>
  <si>
    <t>Long Branch City, Monmouth County</t>
  </si>
  <si>
    <t>1430</t>
  </si>
  <si>
    <t>Long Hill Township</t>
  </si>
  <si>
    <t>Long Hill Township, Morris County</t>
  </si>
  <si>
    <t>0115</t>
  </si>
  <si>
    <t>Longport Borough</t>
  </si>
  <si>
    <t>Longport Borough, Atlantic County</t>
  </si>
  <si>
    <t>2115</t>
  </si>
  <si>
    <t>Lopatcong Township</t>
  </si>
  <si>
    <t>Lopatcong Township, Warren County</t>
  </si>
  <si>
    <t>1704</t>
  </si>
  <si>
    <t>Lower Alloways Creek Township</t>
  </si>
  <si>
    <t>Lower Alloways Creek Township, Salem County</t>
  </si>
  <si>
    <t>0505</t>
  </si>
  <si>
    <t>Lower Township</t>
  </si>
  <si>
    <t>Lower Township, Cape May County</t>
  </si>
  <si>
    <t>0317</t>
  </si>
  <si>
    <t>Lumberton Township</t>
  </si>
  <si>
    <t>Lumberton Township, Burlington County</t>
  </si>
  <si>
    <t>0232</t>
  </si>
  <si>
    <t>Lyndhurst Township</t>
  </si>
  <si>
    <t>Lyndhurst Township, Bergen County</t>
  </si>
  <si>
    <t>1417</t>
  </si>
  <si>
    <t>Madison Borough</t>
  </si>
  <si>
    <t>Madison Borough, Morris County</t>
  </si>
  <si>
    <t>0423</t>
  </si>
  <si>
    <t>Magnolia Borough</t>
  </si>
  <si>
    <t>Magnolia Borough, Camden County</t>
  </si>
  <si>
    <t>0233</t>
  </si>
  <si>
    <t>Mahwah Township</t>
  </si>
  <si>
    <t>Mahwah Township, Bergen County</t>
  </si>
  <si>
    <t>1326</t>
  </si>
  <si>
    <t>Manalapan Township</t>
  </si>
  <si>
    <t>Manalapan Township, Monmouth County</t>
  </si>
  <si>
    <t>1327</t>
  </si>
  <si>
    <t>Manasquan Borough</t>
  </si>
  <si>
    <t>Manasquan Borough, Monmouth County</t>
  </si>
  <si>
    <t>1518</t>
  </si>
  <si>
    <t>Manchester Township</t>
  </si>
  <si>
    <t>Manchester Township, Ocean County</t>
  </si>
  <si>
    <t>1705</t>
  </si>
  <si>
    <t>Mannington Township</t>
  </si>
  <si>
    <t>Mannington Township, Salem County</t>
  </si>
  <si>
    <t>0318</t>
  </si>
  <si>
    <t>Mansfield Township</t>
  </si>
  <si>
    <t>Mansfield Township, Burlington County</t>
  </si>
  <si>
    <t>2116</t>
  </si>
  <si>
    <t>Mansfield Township, Warren County</t>
  </si>
  <si>
    <t>1519</t>
  </si>
  <si>
    <t>Mantoloking Borough</t>
  </si>
  <si>
    <t>Mantoloking Borough, Ocean County</t>
  </si>
  <si>
    <t>0810</t>
  </si>
  <si>
    <t>Mantua Township</t>
  </si>
  <si>
    <t>Mantua Township, Gloucester County</t>
  </si>
  <si>
    <t>1811</t>
  </si>
  <si>
    <t>Manville Borough</t>
  </si>
  <si>
    <t>Manville Borough, Somerset County</t>
  </si>
  <si>
    <t>0319</t>
  </si>
  <si>
    <t>Maple Shade Township</t>
  </si>
  <si>
    <t>Maple Shade Township, Burlington County</t>
  </si>
  <si>
    <t>0711</t>
  </si>
  <si>
    <t>Maplewood Township</t>
  </si>
  <si>
    <t>Maplewood Township, Essex County</t>
  </si>
  <si>
    <t>0116</t>
  </si>
  <si>
    <t>Margate City</t>
  </si>
  <si>
    <t>Margate City, Atlantic County</t>
  </si>
  <si>
    <t>1328</t>
  </si>
  <si>
    <t>Marlboro Township</t>
  </si>
  <si>
    <t>Marlboro Township, Monmouth County</t>
  </si>
  <si>
    <t>1329</t>
  </si>
  <si>
    <t>Matawan Borough</t>
  </si>
  <si>
    <t>Matawan Borough, Monmouth County</t>
  </si>
  <si>
    <t>0609</t>
  </si>
  <si>
    <t>Maurice River Township</t>
  </si>
  <si>
    <t>Maurice River Township, Cumberland County</t>
  </si>
  <si>
    <t>0234</t>
  </si>
  <si>
    <t>Maywood Borough</t>
  </si>
  <si>
    <t>Maywood Borough, Bergen County</t>
  </si>
  <si>
    <t>0321</t>
  </si>
  <si>
    <t>Medford Lakes Borough</t>
  </si>
  <si>
    <t>Medford Lakes Borough, Burlington County</t>
  </si>
  <si>
    <t>0320</t>
  </si>
  <si>
    <t>Medford Township</t>
  </si>
  <si>
    <t>Medford Township, Burlington County</t>
  </si>
  <si>
    <t>1418</t>
  </si>
  <si>
    <t>Mendham Borough</t>
  </si>
  <si>
    <t>Mendham Borough, Morris County</t>
  </si>
  <si>
    <t>1419</t>
  </si>
  <si>
    <t>Mendham Township</t>
  </si>
  <si>
    <t>Mendham Township, Morris County</t>
  </si>
  <si>
    <t>0424</t>
  </si>
  <si>
    <t>Merchantville Borough</t>
  </si>
  <si>
    <t>Merchantville Borough, Camden County</t>
  </si>
  <si>
    <t>1210</t>
  </si>
  <si>
    <t>Metuchen Borough</t>
  </si>
  <si>
    <t>Metuchen Borough, Middlesex County</t>
  </si>
  <si>
    <t>0506</t>
  </si>
  <si>
    <t>Middle Township</t>
  </si>
  <si>
    <t>Middle Township, Cape May County</t>
  </si>
  <si>
    <t>1211</t>
  </si>
  <si>
    <t>Middlesex Borough</t>
  </si>
  <si>
    <t>Middlesex Borough, Middlesex County</t>
  </si>
  <si>
    <t>1331</t>
  </si>
  <si>
    <t>Middletown Township</t>
  </si>
  <si>
    <t>Middletown Township, Monmouth County</t>
  </si>
  <si>
    <t>0235</t>
  </si>
  <si>
    <t>Midland Park Borough</t>
  </si>
  <si>
    <t>Midland Park Borough, Bergen County</t>
  </si>
  <si>
    <t>1020</t>
  </si>
  <si>
    <t>Milford Borough</t>
  </si>
  <si>
    <t>Milford Borough, Hunterdon County</t>
  </si>
  <si>
    <t>0712</t>
  </si>
  <si>
    <t>Millburn Township</t>
  </si>
  <si>
    <t>Millburn Township, Essex County</t>
  </si>
  <si>
    <t>1812</t>
  </si>
  <si>
    <t>Millstone Borough</t>
  </si>
  <si>
    <t>Millstone Borough, Somerset County</t>
  </si>
  <si>
    <t>1332</t>
  </si>
  <si>
    <t>Millstone Township</t>
  </si>
  <si>
    <t>Millstone Township, Monmouth County</t>
  </si>
  <si>
    <t>1212</t>
  </si>
  <si>
    <t>Milltown Borough</t>
  </si>
  <si>
    <t>Milltown Borough, Middlesex County</t>
  </si>
  <si>
    <t>0610</t>
  </si>
  <si>
    <t>Millville City</t>
  </si>
  <si>
    <t>Millville City, Cumberland County</t>
  </si>
  <si>
    <t>1420</t>
  </si>
  <si>
    <t>Mine Hill Township</t>
  </si>
  <si>
    <t>Mine Hill Township, Morris County</t>
  </si>
  <si>
    <t>1333</t>
  </si>
  <si>
    <t>Monmouth Beach Borough</t>
  </si>
  <si>
    <t>Monmouth Beach Borough, Monmouth County</t>
  </si>
  <si>
    <t>0811</t>
  </si>
  <si>
    <t>Monroe Township</t>
  </si>
  <si>
    <t>Monroe Township, Gloucester County</t>
  </si>
  <si>
    <t>1213</t>
  </si>
  <si>
    <t>Monroe Township, Middlesex County</t>
  </si>
  <si>
    <t>1914</t>
  </si>
  <si>
    <t>Montague Township</t>
  </si>
  <si>
    <t>Montague Township, Sussex County</t>
  </si>
  <si>
    <t>0713</t>
  </si>
  <si>
    <t>Montclair Township</t>
  </si>
  <si>
    <t>Montclair Township, Essex County</t>
  </si>
  <si>
    <t>1813</t>
  </si>
  <si>
    <t>Montgomery Township</t>
  </si>
  <si>
    <t>Montgomery Township, Somerset County</t>
  </si>
  <si>
    <t>0236</t>
  </si>
  <si>
    <t>Montvale Borough</t>
  </si>
  <si>
    <t>Montvale Borough, Bergen County</t>
  </si>
  <si>
    <t>1421</t>
  </si>
  <si>
    <t>Montville Township</t>
  </si>
  <si>
    <t>Montville Township, Morris County</t>
  </si>
  <si>
    <t>0237</t>
  </si>
  <si>
    <t>Moonachie Borough</t>
  </si>
  <si>
    <t>Moonachie Borough, Bergen County</t>
  </si>
  <si>
    <t>0322</t>
  </si>
  <si>
    <t>Moorestown Township</t>
  </si>
  <si>
    <t>Moorestown Township, Burlington County</t>
  </si>
  <si>
    <t>1423</t>
  </si>
  <si>
    <t>Morris Plains Borough</t>
  </si>
  <si>
    <t>Morris Plains Borough, Morris County</t>
  </si>
  <si>
    <t>1422</t>
  </si>
  <si>
    <t>Morris Township</t>
  </si>
  <si>
    <t>Morris Township, Morris County</t>
  </si>
  <si>
    <t>1424</t>
  </si>
  <si>
    <t>Morristown Town</t>
  </si>
  <si>
    <t>Morristown Town, Morris County</t>
  </si>
  <si>
    <t>1426</t>
  </si>
  <si>
    <t>Mount Arlington Borough</t>
  </si>
  <si>
    <t>Mount Arlington Borough, Morris County</t>
  </si>
  <si>
    <t>0425</t>
  </si>
  <si>
    <t>Mount Ephraim Borough</t>
  </si>
  <si>
    <t>Mount Ephraim Borough, Camden County</t>
  </si>
  <si>
    <t>0323</t>
  </si>
  <si>
    <t>Mount Holly Township</t>
  </si>
  <si>
    <t>Mount Holly Township, Burlington County</t>
  </si>
  <si>
    <t>0324</t>
  </si>
  <si>
    <t>Mount Laurel Township</t>
  </si>
  <si>
    <t>Mount Laurel Township, Burlington County</t>
  </si>
  <si>
    <t>1427</t>
  </si>
  <si>
    <t>Mount Olive Township</t>
  </si>
  <si>
    <t>Mount Olive Township, Morris County</t>
  </si>
  <si>
    <t>1425</t>
  </si>
  <si>
    <t>Mountain Lakes Borough</t>
  </si>
  <si>
    <t>Mountain Lakes Borough, Morris County</t>
  </si>
  <si>
    <t>2010</t>
  </si>
  <si>
    <t>Mountainside Borough</t>
  </si>
  <si>
    <t>Mountainside Borough, Union County</t>
  </si>
  <si>
    <t>0117</t>
  </si>
  <si>
    <t>Mullica Township</t>
  </si>
  <si>
    <t>Mullica Township, Atlantic County</t>
  </si>
  <si>
    <t>0812</t>
  </si>
  <si>
    <t>National Park Borough</t>
  </si>
  <si>
    <t>National Park Borough, Gloucester County</t>
  </si>
  <si>
    <t>1335</t>
  </si>
  <si>
    <t>Neptune City Borough</t>
  </si>
  <si>
    <t>Neptune City Borough, Monmouth County</t>
  </si>
  <si>
    <t>1334</t>
  </si>
  <si>
    <t>Neptune Township</t>
  </si>
  <si>
    <t>Neptune Township, Monmouth County</t>
  </si>
  <si>
    <t>1428</t>
  </si>
  <si>
    <t>Netcong Borough</t>
  </si>
  <si>
    <t>Netcong Borough, Morris County</t>
  </si>
  <si>
    <t>1214</t>
  </si>
  <si>
    <t>New Brunswick City</t>
  </si>
  <si>
    <t>New Brunswick City, Middlesex County</t>
  </si>
  <si>
    <t>0325</t>
  </si>
  <si>
    <t>New Hanover Township</t>
  </si>
  <si>
    <t>New Hanover Township, Burlington County</t>
  </si>
  <si>
    <t>0238</t>
  </si>
  <si>
    <t>New Milford Borough</t>
  </si>
  <si>
    <t>New Milford Borough, Bergen County</t>
  </si>
  <si>
    <t>2011</t>
  </si>
  <si>
    <t>New Providence Borough</t>
  </si>
  <si>
    <t>New Providence Borough, Union County</t>
  </si>
  <si>
    <t>0714</t>
  </si>
  <si>
    <t>Newark City</t>
  </si>
  <si>
    <t>Newark City, Essex County</t>
  </si>
  <si>
    <t>0813</t>
  </si>
  <si>
    <t>Newfield Borough</t>
  </si>
  <si>
    <t>Newfield Borough, Gloucester County</t>
  </si>
  <si>
    <t>1915</t>
  </si>
  <si>
    <t>Newton Town</t>
  </si>
  <si>
    <t>Newton Town, Sussex County</t>
  </si>
  <si>
    <t>0239</t>
  </si>
  <si>
    <t>North Arlington Borough</t>
  </si>
  <si>
    <t>North Arlington Borough, Bergen County</t>
  </si>
  <si>
    <t>0908</t>
  </si>
  <si>
    <t>North Bergen Township</t>
  </si>
  <si>
    <t>North Bergen Township, Hudson County</t>
  </si>
  <si>
    <t>1215</t>
  </si>
  <si>
    <t>North Brunswick Township</t>
  </si>
  <si>
    <t>North Brunswick Township, Middlesex County</t>
  </si>
  <si>
    <t>0715</t>
  </si>
  <si>
    <t>North Caldwell Borough</t>
  </si>
  <si>
    <t>North Caldwell Borough, Essex County</t>
  </si>
  <si>
    <t>1606</t>
  </si>
  <si>
    <t>North Haledon Borough</t>
  </si>
  <si>
    <t>North Haledon Borough, Passaic County</t>
  </si>
  <si>
    <t>0326</t>
  </si>
  <si>
    <t>North Hanover Township</t>
  </si>
  <si>
    <t>North Hanover Township, Burlington County</t>
  </si>
  <si>
    <t>1814</t>
  </si>
  <si>
    <t>North Plainfield Borough</t>
  </si>
  <si>
    <t>North Plainfield Borough, Somerset County</t>
  </si>
  <si>
    <t>0507</t>
  </si>
  <si>
    <t>North Wildwood City</t>
  </si>
  <si>
    <t>North Wildwood City, Cape May County</t>
  </si>
  <si>
    <t>0118</t>
  </si>
  <si>
    <t>Northfield City</t>
  </si>
  <si>
    <t>Northfield City, Atlantic County</t>
  </si>
  <si>
    <t>0240</t>
  </si>
  <si>
    <t>Northvale Borough</t>
  </si>
  <si>
    <t>Northvale Borough, Bergen County</t>
  </si>
  <si>
    <t>0241</t>
  </si>
  <si>
    <t>Norwood Borough</t>
  </si>
  <si>
    <t>Norwood Borough, Bergen County</t>
  </si>
  <si>
    <t>0716</t>
  </si>
  <si>
    <t>Nutley Township</t>
  </si>
  <si>
    <t>Nutley Township, Essex County</t>
  </si>
  <si>
    <t>0242</t>
  </si>
  <si>
    <t>Oakland Borough</t>
  </si>
  <si>
    <t>Oakland Borough, Bergen County</t>
  </si>
  <si>
    <t>0426</t>
  </si>
  <si>
    <t>Oaklyn Borough</t>
  </si>
  <si>
    <t>Oaklyn Borough, Camden County</t>
  </si>
  <si>
    <t>0508</t>
  </si>
  <si>
    <t>Ocean City City</t>
  </si>
  <si>
    <t>Ocean City City, Cape May County</t>
  </si>
  <si>
    <t>1521</t>
  </si>
  <si>
    <t>Ocean Gate Borough</t>
  </si>
  <si>
    <t>Ocean Gate Borough, Ocean County</t>
  </si>
  <si>
    <t>1337</t>
  </si>
  <si>
    <t>Ocean Township</t>
  </si>
  <si>
    <t>Ocean Township, Monmouth County</t>
  </si>
  <si>
    <t>1520</t>
  </si>
  <si>
    <t>Ocean Township, Ocean County</t>
  </si>
  <si>
    <t>1338</t>
  </si>
  <si>
    <t>Oceanport Borough</t>
  </si>
  <si>
    <t>Oceanport Borough, Monmouth County</t>
  </si>
  <si>
    <t>1916</t>
  </si>
  <si>
    <t>Ogdensburg Borough</t>
  </si>
  <si>
    <t>Ogdensburg Borough, Sussex County</t>
  </si>
  <si>
    <t>1209</t>
  </si>
  <si>
    <t>Old Bridge Township</t>
  </si>
  <si>
    <t>Old Bridge Township, Middlesex County</t>
  </si>
  <si>
    <t>0243</t>
  </si>
  <si>
    <t>Old Tappan Borough</t>
  </si>
  <si>
    <t>Old Tappan Borough, Bergen County</t>
  </si>
  <si>
    <t>1706</t>
  </si>
  <si>
    <t>Oldmans Township</t>
  </si>
  <si>
    <t>Oldmans Township, Salem County</t>
  </si>
  <si>
    <t>0244</t>
  </si>
  <si>
    <t>Oradell Borough</t>
  </si>
  <si>
    <t>Oradell Borough, Bergen County</t>
  </si>
  <si>
    <t>0717</t>
  </si>
  <si>
    <t>Orange City</t>
  </si>
  <si>
    <t>Orange City, Essex County</t>
  </si>
  <si>
    <t>2117</t>
  </si>
  <si>
    <t>Oxford Township</t>
  </si>
  <si>
    <t>Oxford Township, Warren County</t>
  </si>
  <si>
    <t>0245</t>
  </si>
  <si>
    <t>Palisades Park Borough</t>
  </si>
  <si>
    <t>Palisades Park Borough, Bergen County</t>
  </si>
  <si>
    <t>0327</t>
  </si>
  <si>
    <t>Palmyra Borough</t>
  </si>
  <si>
    <t>Palmyra Borough, Burlington County</t>
  </si>
  <si>
    <t>0246</t>
  </si>
  <si>
    <t>Paramus Borough</t>
  </si>
  <si>
    <t>Paramus Borough, Bergen County</t>
  </si>
  <si>
    <t>0247</t>
  </si>
  <si>
    <t>Park Ridge Borough</t>
  </si>
  <si>
    <t>Park Ridge Borough, Bergen County</t>
  </si>
  <si>
    <t>1429</t>
  </si>
  <si>
    <t>Parsippany-Troy Hills Township</t>
  </si>
  <si>
    <t>Parsippany-Troy Hills Township, Morris County</t>
  </si>
  <si>
    <t>1607</t>
  </si>
  <si>
    <t>Passaic City</t>
  </si>
  <si>
    <t>Passaic City, Passaic County</t>
  </si>
  <si>
    <t>1608</t>
  </si>
  <si>
    <t>Paterson City</t>
  </si>
  <si>
    <t>Paterson City, Passaic County</t>
  </si>
  <si>
    <t>0814</t>
  </si>
  <si>
    <t>Paulsboro Borough</t>
  </si>
  <si>
    <t>Paulsboro Borough, Gloucester County</t>
  </si>
  <si>
    <t>1815</t>
  </si>
  <si>
    <t>Peapack-Gladstone Borough</t>
  </si>
  <si>
    <t>Peapack-Gladstone Borough, Somerset County</t>
  </si>
  <si>
    <t>0328</t>
  </si>
  <si>
    <t>Pemberton Borough</t>
  </si>
  <si>
    <t>Pemberton Borough, Burlington County</t>
  </si>
  <si>
    <t>0329</t>
  </si>
  <si>
    <t>Pemberton Township</t>
  </si>
  <si>
    <t>Pemberton Township, Burlington County</t>
  </si>
  <si>
    <t>1108</t>
  </si>
  <si>
    <t>Pennington Borough</t>
  </si>
  <si>
    <t>Pennington Borough, Mercer County</t>
  </si>
  <si>
    <t>1707</t>
  </si>
  <si>
    <t>Penns Grove Borough</t>
  </si>
  <si>
    <t>Penns Grove Borough, Salem County</t>
  </si>
  <si>
    <t>0427</t>
  </si>
  <si>
    <t>Pennsauken Township</t>
  </si>
  <si>
    <t>Pennsauken Township, Camden County</t>
  </si>
  <si>
    <t>1708</t>
  </si>
  <si>
    <t>Pennsville Township</t>
  </si>
  <si>
    <t>Pennsville Township, Salem County</t>
  </si>
  <si>
    <t>1431</t>
  </si>
  <si>
    <t>Pequannock Township</t>
  </si>
  <si>
    <t>Pequannock Township, Morris County</t>
  </si>
  <si>
    <t>1216</t>
  </si>
  <si>
    <t>Perth Amboy City</t>
  </si>
  <si>
    <t>Perth Amboy City, Middlesex County</t>
  </si>
  <si>
    <t>2119</t>
  </si>
  <si>
    <t>Phillipsburg Town</t>
  </si>
  <si>
    <t>Phillipsburg Town, Warren County</t>
  </si>
  <si>
    <t>1709</t>
  </si>
  <si>
    <t>Pilesgrove Township</t>
  </si>
  <si>
    <t>Pilesgrove Township, Salem County</t>
  </si>
  <si>
    <t>1522</t>
  </si>
  <si>
    <t>Pine Beach Borough</t>
  </si>
  <si>
    <t>Pine Beach Borough, Ocean County</t>
  </si>
  <si>
    <t>0428</t>
  </si>
  <si>
    <t>Pine Hill Borough</t>
  </si>
  <si>
    <t>Pine Hill Borough, Camden County</t>
  </si>
  <si>
    <t>0429</t>
  </si>
  <si>
    <t>Pine Valley Borough</t>
  </si>
  <si>
    <t>Pine Valley Borough, Camden County</t>
  </si>
  <si>
    <t>1217</t>
  </si>
  <si>
    <t>Piscataway Township</t>
  </si>
  <si>
    <t>Piscataway Township, Middlesex County</t>
  </si>
  <si>
    <t>0815</t>
  </si>
  <si>
    <t>Pitman Borough</t>
  </si>
  <si>
    <t>Pitman Borough, Gloucester County</t>
  </si>
  <si>
    <t>1710</t>
  </si>
  <si>
    <t>Pittsgrove Township</t>
  </si>
  <si>
    <t>Pittsgrove Township, Salem County</t>
  </si>
  <si>
    <t>2012</t>
  </si>
  <si>
    <t>Plainfield City</t>
  </si>
  <si>
    <t>Plainfield City, Union County</t>
  </si>
  <si>
    <t>1218</t>
  </si>
  <si>
    <t>Plainsboro Township</t>
  </si>
  <si>
    <t>Plainsboro Township, Middlesex County</t>
  </si>
  <si>
    <t>0119</t>
  </si>
  <si>
    <t>Pleasantville City</t>
  </si>
  <si>
    <t>Pleasantville City, Atlantic County</t>
  </si>
  <si>
    <t>1523</t>
  </si>
  <si>
    <t>Plumsted Township</t>
  </si>
  <si>
    <t>Plumsted Township, Ocean County</t>
  </si>
  <si>
    <t>2120</t>
  </si>
  <si>
    <t>Pohatcong Township</t>
  </si>
  <si>
    <t>Pohatcong Township, Warren County</t>
  </si>
  <si>
    <t>1525</t>
  </si>
  <si>
    <t>Point Pleasant Beach Borough</t>
  </si>
  <si>
    <t>Point Pleasant Beach Borough, Ocean County</t>
  </si>
  <si>
    <t>1524</t>
  </si>
  <si>
    <t>Point Pleasant Borough</t>
  </si>
  <si>
    <t>Point Pleasant Borough, Ocean County</t>
  </si>
  <si>
    <t>1609</t>
  </si>
  <si>
    <t>Pompton Lakes Borough</t>
  </si>
  <si>
    <t>Pompton Lakes Borough, Passaic County</t>
  </si>
  <si>
    <t>0120</t>
  </si>
  <si>
    <t>Port Republic City</t>
  </si>
  <si>
    <t>Port Republic City, Atlantic County</t>
  </si>
  <si>
    <t>1114</t>
  </si>
  <si>
    <t>Princeton</t>
  </si>
  <si>
    <t>Princeton, Mercer County</t>
  </si>
  <si>
    <t>1610</t>
  </si>
  <si>
    <t>Prospect Park Borough</t>
  </si>
  <si>
    <t>Prospect Park Borough, Passaic County</t>
  </si>
  <si>
    <t>1711</t>
  </si>
  <si>
    <t>Quinton Township</t>
  </si>
  <si>
    <t>Quinton Township, Salem County</t>
  </si>
  <si>
    <t>2013</t>
  </si>
  <si>
    <t>Rahway City</t>
  </si>
  <si>
    <t>Rahway City, Union County</t>
  </si>
  <si>
    <t>0248</t>
  </si>
  <si>
    <t>Ramsey Borough</t>
  </si>
  <si>
    <t>Ramsey Borough, Bergen County</t>
  </si>
  <si>
    <t>1432</t>
  </si>
  <si>
    <t>Randolph Township</t>
  </si>
  <si>
    <t>Randolph Township, Morris County</t>
  </si>
  <si>
    <t>1816</t>
  </si>
  <si>
    <t>Raritan Borough</t>
  </si>
  <si>
    <t>Raritan Borough, Somerset County</t>
  </si>
  <si>
    <t>1021</t>
  </si>
  <si>
    <t>Raritan Township</t>
  </si>
  <si>
    <t>Raritan Township, Hunterdon County</t>
  </si>
  <si>
    <t>1022</t>
  </si>
  <si>
    <t>Readington Township</t>
  </si>
  <si>
    <t>Readington Township, Hunterdon County</t>
  </si>
  <si>
    <t>1340</t>
  </si>
  <si>
    <t>Red Bank Borough</t>
  </si>
  <si>
    <t>Red Bank Borough, Monmouth County</t>
  </si>
  <si>
    <t>0249</t>
  </si>
  <si>
    <t>Ridgefield Borough</t>
  </si>
  <si>
    <t>Ridgefield Borough, Bergen County</t>
  </si>
  <si>
    <t>0250</t>
  </si>
  <si>
    <t>Ridgefield Park Village</t>
  </si>
  <si>
    <t>Ridgefield Park Village, Bergen County</t>
  </si>
  <si>
    <t>0251</t>
  </si>
  <si>
    <t>Ridgewood Village</t>
  </si>
  <si>
    <t>Ridgewood Village, Bergen County</t>
  </si>
  <si>
    <t>1611</t>
  </si>
  <si>
    <t>Ringwood Borough</t>
  </si>
  <si>
    <t>Ringwood Borough, Passaic County</t>
  </si>
  <si>
    <t>0252</t>
  </si>
  <si>
    <t>River Edge Borough</t>
  </si>
  <si>
    <t>River Edge Borough, Bergen County</t>
  </si>
  <si>
    <t>0253</t>
  </si>
  <si>
    <t>River Vale Township</t>
  </si>
  <si>
    <t>River Vale Township, Bergen County</t>
  </si>
  <si>
    <t>1433</t>
  </si>
  <si>
    <t>Riverdale Borough</t>
  </si>
  <si>
    <t>Riverdale Borough, Morris County</t>
  </si>
  <si>
    <t>0330</t>
  </si>
  <si>
    <t>Riverside Township</t>
  </si>
  <si>
    <t>Riverside Township, Burlington County</t>
  </si>
  <si>
    <t>0331</t>
  </si>
  <si>
    <t>Riverton Borough</t>
  </si>
  <si>
    <t>Riverton Borough, Burlington County</t>
  </si>
  <si>
    <t>1112</t>
  </si>
  <si>
    <t>Robbinsville Township</t>
  </si>
  <si>
    <t>Robbinsville Township, Mercer County</t>
  </si>
  <si>
    <t>0254</t>
  </si>
  <si>
    <t>Rochelle Park Township</t>
  </si>
  <si>
    <t>Rochelle Park Township, Bergen County</t>
  </si>
  <si>
    <t>1434</t>
  </si>
  <si>
    <t>Rockaway Borough</t>
  </si>
  <si>
    <t>Rockaway Borough, Morris County</t>
  </si>
  <si>
    <t>1435</t>
  </si>
  <si>
    <t>Rockaway Township</t>
  </si>
  <si>
    <t>Rockaway Township, Morris County</t>
  </si>
  <si>
    <t>0255</t>
  </si>
  <si>
    <t>Rockleigh Borough</t>
  </si>
  <si>
    <t>Rockleigh Borough, Bergen County</t>
  </si>
  <si>
    <t>1817</t>
  </si>
  <si>
    <t>Rocky Hill Borough</t>
  </si>
  <si>
    <t>Rocky Hill Borough, Somerset County</t>
  </si>
  <si>
    <t>1341</t>
  </si>
  <si>
    <t>Roosevelt Borough</t>
  </si>
  <si>
    <t>Roosevelt Borough, Monmouth County</t>
  </si>
  <si>
    <t>0718</t>
  </si>
  <si>
    <t>Roseland Borough</t>
  </si>
  <si>
    <t>Roseland Borough, Essex County</t>
  </si>
  <si>
    <t>2014</t>
  </si>
  <si>
    <t>Roselle Borough</t>
  </si>
  <si>
    <t>Roselle Borough, Union County</t>
  </si>
  <si>
    <t>2015</t>
  </si>
  <si>
    <t>Roselle Park Borough</t>
  </si>
  <si>
    <t>Roselle Park Borough, Union County</t>
  </si>
  <si>
    <t>1436</t>
  </si>
  <si>
    <t>Roxbury Township</t>
  </si>
  <si>
    <t>Roxbury Township, Morris County</t>
  </si>
  <si>
    <t>1342</t>
  </si>
  <si>
    <t>Rumson Borough</t>
  </si>
  <si>
    <t>Rumson Borough, Monmouth County</t>
  </si>
  <si>
    <t>0430</t>
  </si>
  <si>
    <t>Runnemede Borough</t>
  </si>
  <si>
    <t>Runnemede Borough, Camden County</t>
  </si>
  <si>
    <t>0256</t>
  </si>
  <si>
    <t>Rutherford Borough</t>
  </si>
  <si>
    <t>Rutherford Borough, Bergen County</t>
  </si>
  <si>
    <t>0257</t>
  </si>
  <si>
    <t>Saddle Brook Township</t>
  </si>
  <si>
    <t>Saddle Brook Township, Bergen County</t>
  </si>
  <si>
    <t>0258</t>
  </si>
  <si>
    <t>Saddle River Borough</t>
  </si>
  <si>
    <t>Saddle River Borough, Bergen County</t>
  </si>
  <si>
    <t>1712</t>
  </si>
  <si>
    <t>Salem City</t>
  </si>
  <si>
    <t>Salem City, Salem County</t>
  </si>
  <si>
    <t>1917</t>
  </si>
  <si>
    <t>Sandyston Township</t>
  </si>
  <si>
    <t>Sandyston Township, Sussex County</t>
  </si>
  <si>
    <t>1219</t>
  </si>
  <si>
    <t>Sayreville Borough</t>
  </si>
  <si>
    <t>Sayreville Borough, Middlesex County</t>
  </si>
  <si>
    <t>2016</t>
  </si>
  <si>
    <t>Scotch Plains Township</t>
  </si>
  <si>
    <t>Scotch Plains Township, Union County</t>
  </si>
  <si>
    <t>1343</t>
  </si>
  <si>
    <t>Sea Bright Borough</t>
  </si>
  <si>
    <t>Sea Bright Borough, Monmouth County</t>
  </si>
  <si>
    <t>1344</t>
  </si>
  <si>
    <t>Sea Girt Borough</t>
  </si>
  <si>
    <t>Sea Girt Borough, Monmouth County</t>
  </si>
  <si>
    <t>0509</t>
  </si>
  <si>
    <t>Sea Isle City</t>
  </si>
  <si>
    <t>Sea Isle City, Cape May County</t>
  </si>
  <si>
    <t>1526</t>
  </si>
  <si>
    <t>Seaside Heights Borough</t>
  </si>
  <si>
    <t>Seaside Heights Borough, Ocean County</t>
  </si>
  <si>
    <t>1527</t>
  </si>
  <si>
    <t>Seaside Park Borough</t>
  </si>
  <si>
    <t>Seaside Park Borough, Ocean County</t>
  </si>
  <si>
    <t>0909</t>
  </si>
  <si>
    <t>Secaucus Town</t>
  </si>
  <si>
    <t>Secaucus Town, Hudson County</t>
  </si>
  <si>
    <t>0332</t>
  </si>
  <si>
    <t>Shamong Township</t>
  </si>
  <si>
    <t>Shamong Township, Burlington County</t>
  </si>
  <si>
    <t>0611</t>
  </si>
  <si>
    <t>Shiloh Borough</t>
  </si>
  <si>
    <t>Shiloh Borough, Cumberland County</t>
  </si>
  <si>
    <t>1528</t>
  </si>
  <si>
    <t>Ship Bottom Borough</t>
  </si>
  <si>
    <t>Ship Bottom Borough, Ocean County</t>
  </si>
  <si>
    <t>1345</t>
  </si>
  <si>
    <t>Shrewsbury Borough</t>
  </si>
  <si>
    <t>Shrewsbury Borough, Monmouth County</t>
  </si>
  <si>
    <t>1346</t>
  </si>
  <si>
    <t>Shrewsbury Township</t>
  </si>
  <si>
    <t>Shrewsbury Township, Monmouth County</t>
  </si>
  <si>
    <t>0431</t>
  </si>
  <si>
    <t>Somerdale Borough</t>
  </si>
  <si>
    <t>Somerdale Borough, Camden County</t>
  </si>
  <si>
    <t>0121</t>
  </si>
  <si>
    <t>Somers Point City</t>
  </si>
  <si>
    <t>Somers Point City, Atlantic County</t>
  </si>
  <si>
    <t>1818</t>
  </si>
  <si>
    <t>Somerville Borough</t>
  </si>
  <si>
    <t>Somerville Borough, Somerset County</t>
  </si>
  <si>
    <t>1220</t>
  </si>
  <si>
    <t>South Amboy City</t>
  </si>
  <si>
    <t>South Amboy City, Middlesex County</t>
  </si>
  <si>
    <t>1819</t>
  </si>
  <si>
    <t>South Bound Brook Borough</t>
  </si>
  <si>
    <t>South Bound Brook Borough, Somerset County</t>
  </si>
  <si>
    <t>1221</t>
  </si>
  <si>
    <t>South Brunswick Township</t>
  </si>
  <si>
    <t>South Brunswick Township, Middlesex County</t>
  </si>
  <si>
    <t>0259</t>
  </si>
  <si>
    <t>South Hackensack Township</t>
  </si>
  <si>
    <t>South Hackensack Township, Bergen County</t>
  </si>
  <si>
    <t>0816</t>
  </si>
  <si>
    <t>South Harrison Township</t>
  </si>
  <si>
    <t>South Harrison Township, Gloucester County</t>
  </si>
  <si>
    <t>0719</t>
  </si>
  <si>
    <t>South Orange Village</t>
  </si>
  <si>
    <t>South Orange Village, Essex County</t>
  </si>
  <si>
    <t>1222</t>
  </si>
  <si>
    <t>South Plainfield Borough</t>
  </si>
  <si>
    <t>South Plainfield Borough, Middlesex County</t>
  </si>
  <si>
    <t>1223</t>
  </si>
  <si>
    <t>South River Borough</t>
  </si>
  <si>
    <t>South River Borough, Middlesex County</t>
  </si>
  <si>
    <t>1529</t>
  </si>
  <si>
    <t>South Toms River Borough</t>
  </si>
  <si>
    <t>South Toms River Borough, Ocean County</t>
  </si>
  <si>
    <t>0333</t>
  </si>
  <si>
    <t>Southampton Township</t>
  </si>
  <si>
    <t>Southampton Township, Burlington County</t>
  </si>
  <si>
    <t>1918</t>
  </si>
  <si>
    <t>Sparta Township</t>
  </si>
  <si>
    <t>Sparta Township, Sussex County</t>
  </si>
  <si>
    <t>1224</t>
  </si>
  <si>
    <t>Spotswood Borough</t>
  </si>
  <si>
    <t>Spotswood Borough, Middlesex County</t>
  </si>
  <si>
    <t>1348</t>
  </si>
  <si>
    <t>Spring Lake Borough</t>
  </si>
  <si>
    <t>Spring Lake Borough, Monmouth County</t>
  </si>
  <si>
    <t>1349</t>
  </si>
  <si>
    <t>Spring Lake Heights Borough</t>
  </si>
  <si>
    <t>Spring Lake Heights Borough, Monmouth County</t>
  </si>
  <si>
    <t>0334</t>
  </si>
  <si>
    <t>Springfield Township</t>
  </si>
  <si>
    <t>Springfield Township, Burlington County</t>
  </si>
  <si>
    <t>2017</t>
  </si>
  <si>
    <t>Springfield Township, Union County</t>
  </si>
  <si>
    <t>1530</t>
  </si>
  <si>
    <t>Stafford Township</t>
  </si>
  <si>
    <t>Stafford Township, Ocean County</t>
  </si>
  <si>
    <t>1919</t>
  </si>
  <si>
    <t>Stanhope Borough</t>
  </si>
  <si>
    <t>Stanhope Borough, Sussex County</t>
  </si>
  <si>
    <t>1920</t>
  </si>
  <si>
    <t>Stillwater Township</t>
  </si>
  <si>
    <t>Stillwater Township, Sussex County</t>
  </si>
  <si>
    <t>1023</t>
  </si>
  <si>
    <t>Stockton Borough</t>
  </si>
  <si>
    <t>Stockton Borough, Hunterdon County</t>
  </si>
  <si>
    <t>0510</t>
  </si>
  <si>
    <t>Stone Harbor Borough</t>
  </si>
  <si>
    <t>Stone Harbor Borough, Cape May County</t>
  </si>
  <si>
    <t>0612</t>
  </si>
  <si>
    <t>Stow Creek Township</t>
  </si>
  <si>
    <t>Stow Creek Township, Cumberland County</t>
  </si>
  <si>
    <t>0432</t>
  </si>
  <si>
    <t>Stratford Borough</t>
  </si>
  <si>
    <t>Stratford Borough, Camden County</t>
  </si>
  <si>
    <t>2018</t>
  </si>
  <si>
    <t>Summit City</t>
  </si>
  <si>
    <t>Summit City, Union County</t>
  </si>
  <si>
    <t>1531</t>
  </si>
  <si>
    <t>Surf City Borough</t>
  </si>
  <si>
    <t>Surf City Borough, Ocean County</t>
  </si>
  <si>
    <t>1921</t>
  </si>
  <si>
    <t>Sussex Borough</t>
  </si>
  <si>
    <t>Sussex Borough, Sussex County</t>
  </si>
  <si>
    <t>0817</t>
  </si>
  <si>
    <t>Swedesboro Borough</t>
  </si>
  <si>
    <t>Swedesboro Borough, Gloucester County</t>
  </si>
  <si>
    <t>0335</t>
  </si>
  <si>
    <t>Tabernacle Township</t>
  </si>
  <si>
    <t>Tabernacle Township, Burlington County</t>
  </si>
  <si>
    <t>0433</t>
  </si>
  <si>
    <t>Tavistock Borough</t>
  </si>
  <si>
    <t>Tavistock Borough, Camden County</t>
  </si>
  <si>
    <t>0260</t>
  </si>
  <si>
    <t>Teaneck Township</t>
  </si>
  <si>
    <t>Teaneck Township, Bergen County</t>
  </si>
  <si>
    <t>0261</t>
  </si>
  <si>
    <t>Tenafly Borough</t>
  </si>
  <si>
    <t>Tenafly Borough, Bergen County</t>
  </si>
  <si>
    <t>0262</t>
  </si>
  <si>
    <t>Teterboro Borough</t>
  </si>
  <si>
    <t>Teterboro Borough, Bergen County</t>
  </si>
  <si>
    <t>1024</t>
  </si>
  <si>
    <t>Tewksbury Township</t>
  </si>
  <si>
    <t>Tewksbury Township, Hunterdon County</t>
  </si>
  <si>
    <t>1336</t>
  </si>
  <si>
    <t>Tinton Falls Borough</t>
  </si>
  <si>
    <t>Tinton Falls Borough, Monmouth County</t>
  </si>
  <si>
    <t>1507</t>
  </si>
  <si>
    <t>Toms River Township</t>
  </si>
  <si>
    <t>Toms River Township, Ocean County</t>
  </si>
  <si>
    <t>1612</t>
  </si>
  <si>
    <t>Totowa Borough</t>
  </si>
  <si>
    <t>Totowa Borough, Passaic County</t>
  </si>
  <si>
    <t>1111</t>
  </si>
  <si>
    <t>Trenton City</t>
  </si>
  <si>
    <t>Trenton City, Mercer County</t>
  </si>
  <si>
    <t>1532</t>
  </si>
  <si>
    <t>Tuckerton Borough</t>
  </si>
  <si>
    <t>Tuckerton Borough, Ocean County</t>
  </si>
  <si>
    <t>1350</t>
  </si>
  <si>
    <t>Union Beach Borough</t>
  </si>
  <si>
    <t>Union Beach Borough, Monmouth County</t>
  </si>
  <si>
    <t>0910</t>
  </si>
  <si>
    <t>Union City City</t>
  </si>
  <si>
    <t>Union City City, Hudson County</t>
  </si>
  <si>
    <t>1025</t>
  </si>
  <si>
    <t>Union Township</t>
  </si>
  <si>
    <t>Union Township, Hunterdon County</t>
  </si>
  <si>
    <t>2019</t>
  </si>
  <si>
    <t>Union Township, Union County</t>
  </si>
  <si>
    <t>0613</t>
  </si>
  <si>
    <t>Upper Deerfield Township</t>
  </si>
  <si>
    <t>Upper Deerfield Township, Cumberland County</t>
  </si>
  <si>
    <t>1351</t>
  </si>
  <si>
    <t>Upper Freehold Township</t>
  </si>
  <si>
    <t>Upper Freehold Township, Monmouth County</t>
  </si>
  <si>
    <t>1714</t>
  </si>
  <si>
    <t>Upper Pittsgrove Township</t>
  </si>
  <si>
    <t>Upper Pittsgrove Township, Salem County</t>
  </si>
  <si>
    <t>0263</t>
  </si>
  <si>
    <t>Upper Saddle River Borough</t>
  </si>
  <si>
    <t>Upper Saddle River Borough, Bergen County</t>
  </si>
  <si>
    <t>0511</t>
  </si>
  <si>
    <t>Upper Township</t>
  </si>
  <si>
    <t>Upper Township, Cape May County</t>
  </si>
  <si>
    <t>0122</t>
  </si>
  <si>
    <t>Ventnor City</t>
  </si>
  <si>
    <t>Ventnor City, Atlantic County</t>
  </si>
  <si>
    <t>1922</t>
  </si>
  <si>
    <t>Vernon Township</t>
  </si>
  <si>
    <t>Vernon Township, Sussex County</t>
  </si>
  <si>
    <t>0720</t>
  </si>
  <si>
    <t>Verona Township</t>
  </si>
  <si>
    <t>Verona Township, Essex County</t>
  </si>
  <si>
    <t>1437</t>
  </si>
  <si>
    <t>Victory Gardens Borough</t>
  </si>
  <si>
    <t>Victory Gardens Borough, Morris County</t>
  </si>
  <si>
    <t>0614</t>
  </si>
  <si>
    <t>Vineland City</t>
  </si>
  <si>
    <t>Vineland City, Cumberland County</t>
  </si>
  <si>
    <t>0434</t>
  </si>
  <si>
    <t>Voorhees Township</t>
  </si>
  <si>
    <t>Voorhees Township, Camden County</t>
  </si>
  <si>
    <t>0264</t>
  </si>
  <si>
    <t>Waldwick Borough</t>
  </si>
  <si>
    <t>Waldwick Borough, Bergen County</t>
  </si>
  <si>
    <t>1352</t>
  </si>
  <si>
    <t>Wall Township</t>
  </si>
  <si>
    <t>Wall Township, Monmouth County</t>
  </si>
  <si>
    <t>0265</t>
  </si>
  <si>
    <t>Wallington Borough</t>
  </si>
  <si>
    <t>Wallington Borough, Bergen County</t>
  </si>
  <si>
    <t>1923</t>
  </si>
  <si>
    <t>Walpack Township</t>
  </si>
  <si>
    <t>Walpack Township, Sussex County</t>
  </si>
  <si>
    <t>1613</t>
  </si>
  <si>
    <t>Wanaque Borough</t>
  </si>
  <si>
    <t>Wanaque Borough, Passaic County</t>
  </si>
  <si>
    <t>1924</t>
  </si>
  <si>
    <t>Wantage Township</t>
  </si>
  <si>
    <t>Wantage Township, Sussex County</t>
  </si>
  <si>
    <t>1820</t>
  </si>
  <si>
    <t>Warren Township</t>
  </si>
  <si>
    <t>Warren Township, Somerset County</t>
  </si>
  <si>
    <t>2121</t>
  </si>
  <si>
    <t>Washington Borough</t>
  </si>
  <si>
    <t>Washington Borough, Warren County</t>
  </si>
  <si>
    <t>0266</t>
  </si>
  <si>
    <t>Washington Township</t>
  </si>
  <si>
    <t>Washington Township, Bergen County</t>
  </si>
  <si>
    <t>0336</t>
  </si>
  <si>
    <t>Washington Township, Burlington County</t>
  </si>
  <si>
    <t>0818</t>
  </si>
  <si>
    <t>Washington Township, Gloucester County</t>
  </si>
  <si>
    <t>1438</t>
  </si>
  <si>
    <t>Washington Township, Morris County</t>
  </si>
  <si>
    <t>2122</t>
  </si>
  <si>
    <t>Washington Township, Warren County</t>
  </si>
  <si>
    <t>1821</t>
  </si>
  <si>
    <t>Watchung Borough</t>
  </si>
  <si>
    <t>Watchung Borough, Somerset County</t>
  </si>
  <si>
    <t>0435</t>
  </si>
  <si>
    <t>Waterford Township</t>
  </si>
  <si>
    <t>Waterford Township, Camden County</t>
  </si>
  <si>
    <t>1614</t>
  </si>
  <si>
    <t>Wayne Township</t>
  </si>
  <si>
    <t>Wayne Township, Passaic County</t>
  </si>
  <si>
    <t>0911</t>
  </si>
  <si>
    <t>Weehawken Township</t>
  </si>
  <si>
    <t>Weehawken Township, Hudson County</t>
  </si>
  <si>
    <t>0819</t>
  </si>
  <si>
    <t>Wenonah Borough</t>
  </si>
  <si>
    <t>Wenonah Borough, Gloucester County</t>
  </si>
  <si>
    <t>1026</t>
  </si>
  <si>
    <t>West Amwell Township</t>
  </si>
  <si>
    <t>West Amwell Township, Hunterdon County</t>
  </si>
  <si>
    <t>0721</t>
  </si>
  <si>
    <t>West Caldwell Township</t>
  </si>
  <si>
    <t>West Caldwell Township, Essex County</t>
  </si>
  <si>
    <t>West Cape May Borough</t>
  </si>
  <si>
    <t>West Cape May Borough, Cape May County</t>
  </si>
  <si>
    <t>0820</t>
  </si>
  <si>
    <t>West Deptford Township</t>
  </si>
  <si>
    <t>West Deptford Township, Gloucester County</t>
  </si>
  <si>
    <t>1353</t>
  </si>
  <si>
    <t>West Long Branch Borough</t>
  </si>
  <si>
    <t>West Long Branch Borough, Monmouth County</t>
  </si>
  <si>
    <t>1615</t>
  </si>
  <si>
    <t>West Milford Township</t>
  </si>
  <si>
    <t>West Milford Township, Passaic County</t>
  </si>
  <si>
    <t>0912</t>
  </si>
  <si>
    <t>West New York Town</t>
  </si>
  <si>
    <t>West New York Town, Hudson County</t>
  </si>
  <si>
    <t>0722</t>
  </si>
  <si>
    <t>West Orange Township</t>
  </si>
  <si>
    <t>West Orange Township, Essex County</t>
  </si>
  <si>
    <t>0513</t>
  </si>
  <si>
    <t>West Wildwood Borough</t>
  </si>
  <si>
    <t>West Wildwood Borough, Cape May County</t>
  </si>
  <si>
    <t>1113</t>
  </si>
  <si>
    <t>West Windsor Township</t>
  </si>
  <si>
    <t>West Windsor Township, Mercer County</t>
  </si>
  <si>
    <t>0337</t>
  </si>
  <si>
    <t>Westampton Township</t>
  </si>
  <si>
    <t>Westampton Township, Burlington County</t>
  </si>
  <si>
    <t>2020</t>
  </si>
  <si>
    <t>Westfield Town</t>
  </si>
  <si>
    <t>Westfield Town, Union County</t>
  </si>
  <si>
    <t>0821</t>
  </si>
  <si>
    <t>Westville Borough</t>
  </si>
  <si>
    <t>Westville Borough, Gloucester County</t>
  </si>
  <si>
    <t>0267</t>
  </si>
  <si>
    <t>Westwood Borough</t>
  </si>
  <si>
    <t>Westwood Borough, Bergen County</t>
  </si>
  <si>
    <t>0123</t>
  </si>
  <si>
    <t>Weymouth Township</t>
  </si>
  <si>
    <t>Weymouth Township, Atlantic County</t>
  </si>
  <si>
    <t>1439</t>
  </si>
  <si>
    <t>Wharton Borough</t>
  </si>
  <si>
    <t>Wharton Borough, Morris County</t>
  </si>
  <si>
    <t>2123</t>
  </si>
  <si>
    <t>White Township</t>
  </si>
  <si>
    <t>White Township, Warren County</t>
  </si>
  <si>
    <t>0514</t>
  </si>
  <si>
    <t>Wildwood City</t>
  </si>
  <si>
    <t>Wildwood City, Cape May County</t>
  </si>
  <si>
    <t>0515</t>
  </si>
  <si>
    <t>Wildwood Crest Borough</t>
  </si>
  <si>
    <t>Wildwood Crest Borough, Cape May County</t>
  </si>
  <si>
    <t>0338</t>
  </si>
  <si>
    <t>Willingboro Township</t>
  </si>
  <si>
    <t>Willingboro Township, Burlington County</t>
  </si>
  <si>
    <t>2021</t>
  </si>
  <si>
    <t>Winfield Township</t>
  </si>
  <si>
    <t>Winfield Township, Union County</t>
  </si>
  <si>
    <t>0436</t>
  </si>
  <si>
    <t>Winslow Township</t>
  </si>
  <si>
    <t>Winslow Township, Camden County</t>
  </si>
  <si>
    <t>0516</t>
  </si>
  <si>
    <t>Woodbine Borough</t>
  </si>
  <si>
    <t>Woodbine Borough, Cape May County</t>
  </si>
  <si>
    <t>1225</t>
  </si>
  <si>
    <t>Woodbridge Township</t>
  </si>
  <si>
    <t>Woodbridge Township, Middlesex County</t>
  </si>
  <si>
    <t>0822</t>
  </si>
  <si>
    <t>Woodbury City</t>
  </si>
  <si>
    <t>Woodbury City, Gloucester County</t>
  </si>
  <si>
    <t>0823</t>
  </si>
  <si>
    <t>Woodbury Heights Borough</t>
  </si>
  <si>
    <t>Woodbury Heights Borough, Gloucester County</t>
  </si>
  <si>
    <t>0268</t>
  </si>
  <si>
    <t>Woodcliff Lake Borough</t>
  </si>
  <si>
    <t>Woodcliff Lake Borough, Bergen County</t>
  </si>
  <si>
    <t>1616</t>
  </si>
  <si>
    <t>Woodland Park Borough</t>
  </si>
  <si>
    <t>Woodland Park Borough, Passaic County</t>
  </si>
  <si>
    <t>0339</t>
  </si>
  <si>
    <t>Woodland Township</t>
  </si>
  <si>
    <t>Woodland Township, Burlington County</t>
  </si>
  <si>
    <t>0437</t>
  </si>
  <si>
    <t>Woodlynne Borough</t>
  </si>
  <si>
    <t>Woodlynne Borough, Camden County</t>
  </si>
  <si>
    <t>0269</t>
  </si>
  <si>
    <t>Wood-Ridge Borough</t>
  </si>
  <si>
    <t>Wood-Ridge Borough, Bergen County</t>
  </si>
  <si>
    <t>1715</t>
  </si>
  <si>
    <t>Woodstown Borough</t>
  </si>
  <si>
    <t>Woodstown Borough, Salem County</t>
  </si>
  <si>
    <t>0824</t>
  </si>
  <si>
    <t>Woolwich Township</t>
  </si>
  <si>
    <t>Woolwich Township, Gloucester County</t>
  </si>
  <si>
    <t>0340</t>
  </si>
  <si>
    <t>Wrightstown Borough</t>
  </si>
  <si>
    <t>Wrightstown Borough, Burlington County</t>
  </si>
  <si>
    <t>0270</t>
  </si>
  <si>
    <t>Wyckoff Township</t>
  </si>
  <si>
    <t>Wyckoff Township, Bergen County</t>
  </si>
  <si>
    <t>Town Name</t>
  </si>
  <si>
    <t>Town</t>
  </si>
  <si>
    <t>Type of Government</t>
  </si>
  <si>
    <t>Muniname</t>
  </si>
  <si>
    <t>Allendale</t>
  </si>
  <si>
    <t>Allenhurst</t>
  </si>
  <si>
    <t>Allentown</t>
  </si>
  <si>
    <t>Alpha</t>
  </si>
  <si>
    <t>Alpine</t>
  </si>
  <si>
    <t>Andover</t>
  </si>
  <si>
    <t>Atlantic Highlands</t>
  </si>
  <si>
    <t>Audubon</t>
  </si>
  <si>
    <t>Audubon Park</t>
  </si>
  <si>
    <t>Avalon</t>
  </si>
  <si>
    <t>Avon-by-the-Sea</t>
  </si>
  <si>
    <t>Barnegat Light</t>
  </si>
  <si>
    <t>Barrington</t>
  </si>
  <si>
    <t>Bay Head</t>
  </si>
  <si>
    <t>Beach Haven</t>
  </si>
  <si>
    <t>Beachwood</t>
  </si>
  <si>
    <t>Bellmawr</t>
  </si>
  <si>
    <t>Belmar</t>
  </si>
  <si>
    <t>Bergenfield</t>
  </si>
  <si>
    <t>Berlin</t>
  </si>
  <si>
    <t>Bernardsville</t>
  </si>
  <si>
    <t>Bloomingdale</t>
  </si>
  <si>
    <t>Bloomsbury</t>
  </si>
  <si>
    <t>Bogota</t>
  </si>
  <si>
    <t>Bound Brook</t>
  </si>
  <si>
    <t>Bradley Beach</t>
  </si>
  <si>
    <t>Branchville</t>
  </si>
  <si>
    <t>Brielle</t>
  </si>
  <si>
    <t>Brooklawn</t>
  </si>
  <si>
    <t>Buena</t>
  </si>
  <si>
    <t>Butler</t>
  </si>
  <si>
    <t>Califon</t>
  </si>
  <si>
    <t>Cape May Point</t>
  </si>
  <si>
    <t>Carlstadt</t>
  </si>
  <si>
    <t>Carteret</t>
  </si>
  <si>
    <t>Chatham</t>
  </si>
  <si>
    <t>Chesilhurst</t>
  </si>
  <si>
    <t>Chester</t>
  </si>
  <si>
    <t>Clayton</t>
  </si>
  <si>
    <t>Clementon</t>
  </si>
  <si>
    <t>Cliffside Park</t>
  </si>
  <si>
    <t>Closter</t>
  </si>
  <si>
    <t>Collingswood</t>
  </si>
  <si>
    <t>Cresskill</t>
  </si>
  <si>
    <t>Deal</t>
  </si>
  <si>
    <t>Demarest</t>
  </si>
  <si>
    <t>Dumont</t>
  </si>
  <si>
    <t>Dunellen</t>
  </si>
  <si>
    <t>East Newark</t>
  </si>
  <si>
    <t>East Rutherford</t>
  </si>
  <si>
    <t>Eatontown</t>
  </si>
  <si>
    <t>Edgewater</t>
  </si>
  <si>
    <t>Elmer</t>
  </si>
  <si>
    <t>Elmwood Park</t>
  </si>
  <si>
    <t>Emerson</t>
  </si>
  <si>
    <t>Englewood Cliffs</t>
  </si>
  <si>
    <t>Englishtown</t>
  </si>
  <si>
    <t>Fair Haven</t>
  </si>
  <si>
    <t>Fair Lawn</t>
  </si>
  <si>
    <t>Fairview</t>
  </si>
  <si>
    <t>Fanwood</t>
  </si>
  <si>
    <t>Far Hills</t>
  </si>
  <si>
    <t>Farmingdale</t>
  </si>
  <si>
    <t>Fieldsboro</t>
  </si>
  <si>
    <t>Flemington</t>
  </si>
  <si>
    <t>Florham Park</t>
  </si>
  <si>
    <t>Folsom</t>
  </si>
  <si>
    <t>Fort Lee</t>
  </si>
  <si>
    <t>Franklin</t>
  </si>
  <si>
    <t>Franklin Lakes</t>
  </si>
  <si>
    <t>Freehold</t>
  </si>
  <si>
    <t>Frenchtown</t>
  </si>
  <si>
    <t>Garwood</t>
  </si>
  <si>
    <t>Gibbsboro</t>
  </si>
  <si>
    <t>Glassboro</t>
  </si>
  <si>
    <t>Glen Gardner</t>
  </si>
  <si>
    <t>Glen Ridge</t>
  </si>
  <si>
    <t>Glen Rock</t>
  </si>
  <si>
    <t>Haddon Heights</t>
  </si>
  <si>
    <t>Haddonfield</t>
  </si>
  <si>
    <t>Haledon</t>
  </si>
  <si>
    <t>Hamburg</t>
  </si>
  <si>
    <t>Hampton</t>
  </si>
  <si>
    <t>Harrington Park</t>
  </si>
  <si>
    <t>Harvey Cedars</t>
  </si>
  <si>
    <t>Hasbrouck Heights</t>
  </si>
  <si>
    <t>Haworth</t>
  </si>
  <si>
    <t>Hawthorne</t>
  </si>
  <si>
    <t>Helmetta</t>
  </si>
  <si>
    <t>High Bridge</t>
  </si>
  <si>
    <t>Highland Park</t>
  </si>
  <si>
    <t>Highlands</t>
  </si>
  <si>
    <t>Hightstown</t>
  </si>
  <si>
    <t>Hillsdale</t>
  </si>
  <si>
    <t>Hi-nella</t>
  </si>
  <si>
    <t>Ho-Ho-Kus</t>
  </si>
  <si>
    <t>Hopatcong</t>
  </si>
  <si>
    <t>Hopewell</t>
  </si>
  <si>
    <t>Interlaken</t>
  </si>
  <si>
    <t>Island Heights</t>
  </si>
  <si>
    <t>Jamesburg</t>
  </si>
  <si>
    <t>Keansburg</t>
  </si>
  <si>
    <t>Kenilworth</t>
  </si>
  <si>
    <t>Keyport</t>
  </si>
  <si>
    <t>Kinnelon</t>
  </si>
  <si>
    <t>Lakehurst</t>
  </si>
  <si>
    <t>Laurel Springs</t>
  </si>
  <si>
    <t>Lavallette</t>
  </si>
  <si>
    <t>Lawnside</t>
  </si>
  <si>
    <t>Lebanon</t>
  </si>
  <si>
    <t>Leonia</t>
  </si>
  <si>
    <t>Lincoln Park</t>
  </si>
  <si>
    <t>Lindenwold</t>
  </si>
  <si>
    <t>Little Ferry</t>
  </si>
  <si>
    <t>Little Silver</t>
  </si>
  <si>
    <t>Lodi</t>
  </si>
  <si>
    <t>Longport</t>
  </si>
  <si>
    <t>Madison</t>
  </si>
  <si>
    <t>Magnolia</t>
  </si>
  <si>
    <t>Manasquan</t>
  </si>
  <si>
    <t>Mantoloking</t>
  </si>
  <si>
    <t>Manville</t>
  </si>
  <si>
    <t>Matawan</t>
  </si>
  <si>
    <t>Maywood</t>
  </si>
  <si>
    <t>Medford Lakes</t>
  </si>
  <si>
    <t>Mendham</t>
  </si>
  <si>
    <t>Merchantville</t>
  </si>
  <si>
    <t>Metuchen</t>
  </si>
  <si>
    <t>Midland Park</t>
  </si>
  <si>
    <t>Milford</t>
  </si>
  <si>
    <t>Millstone</t>
  </si>
  <si>
    <t>Milltown</t>
  </si>
  <si>
    <t>Monmouth Beach</t>
  </si>
  <si>
    <t>Montvale</t>
  </si>
  <si>
    <t>Moonachie</t>
  </si>
  <si>
    <t>Morris Plains</t>
  </si>
  <si>
    <t>Mount Arlington</t>
  </si>
  <si>
    <t>Mount Ephraim</t>
  </si>
  <si>
    <t>Mountain Lakes</t>
  </si>
  <si>
    <t>Mountainside</t>
  </si>
  <si>
    <t>National Park</t>
  </si>
  <si>
    <t>Neptune City</t>
  </si>
  <si>
    <t>Netcong</t>
  </si>
  <si>
    <t>New Milford</t>
  </si>
  <si>
    <t>New Providence</t>
  </si>
  <si>
    <t>Newfield</t>
  </si>
  <si>
    <t>North Arlington</t>
  </si>
  <si>
    <t>North Caldwell</t>
  </si>
  <si>
    <t>North Haledon</t>
  </si>
  <si>
    <t>North Plainfield</t>
  </si>
  <si>
    <t>Northvale</t>
  </si>
  <si>
    <t>Norwood</t>
  </si>
  <si>
    <t>Oakland</t>
  </si>
  <si>
    <t>Oaklyn</t>
  </si>
  <si>
    <t>Ocean Gate</t>
  </si>
  <si>
    <t>Oceanport</t>
  </si>
  <si>
    <t>Ogdensburg</t>
  </si>
  <si>
    <t>Old Tappan</t>
  </si>
  <si>
    <t>Oradell</t>
  </si>
  <si>
    <t>Palisades Park</t>
  </si>
  <si>
    <t>Palmyra</t>
  </si>
  <si>
    <t>Paramus</t>
  </si>
  <si>
    <t>Park Ridge</t>
  </si>
  <si>
    <t>Paulsboro</t>
  </si>
  <si>
    <t>Peapack-Gladstone</t>
  </si>
  <si>
    <t>Pemberton</t>
  </si>
  <si>
    <t>Pennington</t>
  </si>
  <si>
    <t>Penns Grove</t>
  </si>
  <si>
    <t>Pine Beach</t>
  </si>
  <si>
    <t>Pine Hill</t>
  </si>
  <si>
    <t>Pine Valley</t>
  </si>
  <si>
    <t>Pitman</t>
  </si>
  <si>
    <t>Point Pleasant Beach</t>
  </si>
  <si>
    <t>Point Pleasant</t>
  </si>
  <si>
    <t>Pompton Lakes</t>
  </si>
  <si>
    <t>Prospect Park</t>
  </si>
  <si>
    <t>Ramsey</t>
  </si>
  <si>
    <t>Raritan</t>
  </si>
  <si>
    <t>Red Bank</t>
  </si>
  <si>
    <t>Ridgefield</t>
  </si>
  <si>
    <t>Ringwood</t>
  </si>
  <si>
    <t>River Edge</t>
  </si>
  <si>
    <t>Riverdale</t>
  </si>
  <si>
    <t>Riverton</t>
  </si>
  <si>
    <t>Rockaway</t>
  </si>
  <si>
    <t>Rockleigh</t>
  </si>
  <si>
    <t>Rocky Hill</t>
  </si>
  <si>
    <t>Roosevelt</t>
  </si>
  <si>
    <t>Roseland</t>
  </si>
  <si>
    <t>Roselle</t>
  </si>
  <si>
    <t>Roselle Park</t>
  </si>
  <si>
    <t>Rumson</t>
  </si>
  <si>
    <t>Runnemede</t>
  </si>
  <si>
    <t>Rutherford</t>
  </si>
  <si>
    <t>Saddle River</t>
  </si>
  <si>
    <t>Sayreville</t>
  </si>
  <si>
    <t>Sea Bright</t>
  </si>
  <si>
    <t>Sea Girt</t>
  </si>
  <si>
    <t>Seaside Heights</t>
  </si>
  <si>
    <t>Seaside Park</t>
  </si>
  <si>
    <t>Shiloh</t>
  </si>
  <si>
    <t>Ship Bottom</t>
  </si>
  <si>
    <t>Shrewsbury</t>
  </si>
  <si>
    <t>Somerdale</t>
  </si>
  <si>
    <t>Somerville</t>
  </si>
  <si>
    <t>South Bound Brook</t>
  </si>
  <si>
    <t>South Plainfield</t>
  </si>
  <si>
    <t>South River</t>
  </si>
  <si>
    <t>South Toms River</t>
  </si>
  <si>
    <t>Spotswood</t>
  </si>
  <si>
    <t>Spring Lake</t>
  </si>
  <si>
    <t>Spring Lake Heights</t>
  </si>
  <si>
    <t>Stanhope</t>
  </si>
  <si>
    <t>Stockton</t>
  </si>
  <si>
    <t>Stone Harbor</t>
  </si>
  <si>
    <t>Stratford</t>
  </si>
  <si>
    <t>Surf City</t>
  </si>
  <si>
    <t>Swedesboro</t>
  </si>
  <si>
    <t>Tavistock</t>
  </si>
  <si>
    <t>Tenafly</t>
  </si>
  <si>
    <t>Teterboro</t>
  </si>
  <si>
    <t>Tinton Falls</t>
  </si>
  <si>
    <t>Totowa</t>
  </si>
  <si>
    <t>Tuckerton</t>
  </si>
  <si>
    <t>Union Beach</t>
  </si>
  <si>
    <t>Upper Saddle River</t>
  </si>
  <si>
    <t>Victory Gardens</t>
  </si>
  <si>
    <t>Waldwick</t>
  </si>
  <si>
    <t>Wallington</t>
  </si>
  <si>
    <t>Wanaque</t>
  </si>
  <si>
    <t>Washington</t>
  </si>
  <si>
    <t>Watchung</t>
  </si>
  <si>
    <t>Wenonah</t>
  </si>
  <si>
    <t>West Cape May</t>
  </si>
  <si>
    <t>West Long Branch</t>
  </si>
  <si>
    <t>West Wildwood</t>
  </si>
  <si>
    <t>Westville</t>
  </si>
  <si>
    <t>Westwood</t>
  </si>
  <si>
    <t>Wharton</t>
  </si>
  <si>
    <t>Wildwood Crest</t>
  </si>
  <si>
    <t>Woodbine</t>
  </si>
  <si>
    <t>Woodbury Heights</t>
  </si>
  <si>
    <t>Woodcliff Lake</t>
  </si>
  <si>
    <t>Woodland Park</t>
  </si>
  <si>
    <t>Woodlynne</t>
  </si>
  <si>
    <t>Wood-Ridge</t>
  </si>
  <si>
    <t>Woodstown</t>
  </si>
  <si>
    <t>Wrightstown</t>
  </si>
  <si>
    <t>Aberdeen</t>
  </si>
  <si>
    <t>Alloway</t>
  </si>
  <si>
    <t>Barnegat</t>
  </si>
  <si>
    <t>Bass River</t>
  </si>
  <si>
    <t>Bedminster</t>
  </si>
  <si>
    <t>Belleville</t>
  </si>
  <si>
    <t>Berkeley Heights</t>
  </si>
  <si>
    <t>Berkeley</t>
  </si>
  <si>
    <t>Bernards</t>
  </si>
  <si>
    <t>Bethlehem</t>
  </si>
  <si>
    <t>Blairstown</t>
  </si>
  <si>
    <t>Bloomfield</t>
  </si>
  <si>
    <t>Boonton</t>
  </si>
  <si>
    <t>Bordentown</t>
  </si>
  <si>
    <t>Brick</t>
  </si>
  <si>
    <t>Bridgewater</t>
  </si>
  <si>
    <t>Buena Vista</t>
  </si>
  <si>
    <t>Byram</t>
  </si>
  <si>
    <t>Caldwell</t>
  </si>
  <si>
    <t>Carneys Point</t>
  </si>
  <si>
    <t>Cedar Grove</t>
  </si>
  <si>
    <t>Cherry Hill</t>
  </si>
  <si>
    <t>Chesterfield</t>
  </si>
  <si>
    <t>Cinnaminson</t>
  </si>
  <si>
    <t>Clark</t>
  </si>
  <si>
    <t>Clinton</t>
  </si>
  <si>
    <t>Colts Neck</t>
  </si>
  <si>
    <t>Commercial</t>
  </si>
  <si>
    <t>Cranbury</t>
  </si>
  <si>
    <t>Cranford</t>
  </si>
  <si>
    <t>Deerfield</t>
  </si>
  <si>
    <t>Delanco</t>
  </si>
  <si>
    <t>Delaware</t>
  </si>
  <si>
    <t>Delran</t>
  </si>
  <si>
    <t>Dennis</t>
  </si>
  <si>
    <t>Denville</t>
  </si>
  <si>
    <t>Deptford</t>
  </si>
  <si>
    <t>Downe</t>
  </si>
  <si>
    <t>Eagleswood</t>
  </si>
  <si>
    <t>East Amwell</t>
  </si>
  <si>
    <t>East Brunswick</t>
  </si>
  <si>
    <t>East Greenwich</t>
  </si>
  <si>
    <t>East Hanover</t>
  </si>
  <si>
    <t>East Windsor</t>
  </si>
  <si>
    <t>Eastampton</t>
  </si>
  <si>
    <t>Edgewater Park</t>
  </si>
  <si>
    <t>Edison</t>
  </si>
  <si>
    <t>Egg Harbor</t>
  </si>
  <si>
    <t>Elk</t>
  </si>
  <si>
    <t>Elsinboro</t>
  </si>
  <si>
    <t>Essex Fells</t>
  </si>
  <si>
    <t>Evesham</t>
  </si>
  <si>
    <t>Ewing</t>
  </si>
  <si>
    <t>Fairfield</t>
  </si>
  <si>
    <t>Florence</t>
  </si>
  <si>
    <t>Frankford</t>
  </si>
  <si>
    <t>Fredon</t>
  </si>
  <si>
    <t>Frelinghuysen</t>
  </si>
  <si>
    <t>Galloway</t>
  </si>
  <si>
    <t>Green Brook</t>
  </si>
  <si>
    <t>Green</t>
  </si>
  <si>
    <t>Greenwich</t>
  </si>
  <si>
    <t>Haddon</t>
  </si>
  <si>
    <t>Hainesport</t>
  </si>
  <si>
    <t>Hamilton</t>
  </si>
  <si>
    <t>Hammonton</t>
  </si>
  <si>
    <t>Hanover</t>
  </si>
  <si>
    <t>Harding</t>
  </si>
  <si>
    <t>Hardwick</t>
  </si>
  <si>
    <t>Hardyston</t>
  </si>
  <si>
    <t>Harmony</t>
  </si>
  <si>
    <t>Harrison</t>
  </si>
  <si>
    <t>Hazlet</t>
  </si>
  <si>
    <t>Hillsborough</t>
  </si>
  <si>
    <t>Hillside</t>
  </si>
  <si>
    <t>Holland</t>
  </si>
  <si>
    <t>Holmdel</t>
  </si>
  <si>
    <t>Hope</t>
  </si>
  <si>
    <t>Howell</t>
  </si>
  <si>
    <t>Independence</t>
  </si>
  <si>
    <t>Irvington</t>
  </si>
  <si>
    <t>Jackson</t>
  </si>
  <si>
    <t>Jefferson</t>
  </si>
  <si>
    <t>Kingwood</t>
  </si>
  <si>
    <t>Knowlton</t>
  </si>
  <si>
    <t>Lacey</t>
  </si>
  <si>
    <t>Lafayette</t>
  </si>
  <si>
    <t>Lakewood</t>
  </si>
  <si>
    <t>Lawrence</t>
  </si>
  <si>
    <t>Liberty</t>
  </si>
  <si>
    <t>Little Egg Harbor</t>
  </si>
  <si>
    <t>Little Falls</t>
  </si>
  <si>
    <t>Livingston</t>
  </si>
  <si>
    <t>Logan</t>
  </si>
  <si>
    <t>Long Beach</t>
  </si>
  <si>
    <t>Long Hill</t>
  </si>
  <si>
    <t>Lopatcong</t>
  </si>
  <si>
    <t>Lower Alloways Creek</t>
  </si>
  <si>
    <t>Lower</t>
  </si>
  <si>
    <t>Lumberton</t>
  </si>
  <si>
    <t>Lyndhurst</t>
  </si>
  <si>
    <t>Mahwah</t>
  </si>
  <si>
    <t>Manalapan</t>
  </si>
  <si>
    <t>Manchester</t>
  </si>
  <si>
    <t>Mannington</t>
  </si>
  <si>
    <t>Mansfield</t>
  </si>
  <si>
    <t>Mantua</t>
  </si>
  <si>
    <t>Maple Shade</t>
  </si>
  <si>
    <t>Maplewood</t>
  </si>
  <si>
    <t>Marlboro</t>
  </si>
  <si>
    <t>Maurice River</t>
  </si>
  <si>
    <t>Medford</t>
  </si>
  <si>
    <t>Middle</t>
  </si>
  <si>
    <t>Middletown</t>
  </si>
  <si>
    <t>Millburn</t>
  </si>
  <si>
    <t>Mine Hill</t>
  </si>
  <si>
    <t>Monroe</t>
  </si>
  <si>
    <t>Montague</t>
  </si>
  <si>
    <t>Montclair</t>
  </si>
  <si>
    <t>Montgomery</t>
  </si>
  <si>
    <t>Montville</t>
  </si>
  <si>
    <t>Moorestown</t>
  </si>
  <si>
    <t>Mount Holly</t>
  </si>
  <si>
    <t>Mount Laurel</t>
  </si>
  <si>
    <t>Mount Olive</t>
  </si>
  <si>
    <t>Mullica</t>
  </si>
  <si>
    <t>Neptune</t>
  </si>
  <si>
    <t>New Hanover</t>
  </si>
  <si>
    <t>North Bergen</t>
  </si>
  <si>
    <t>North Brunswick</t>
  </si>
  <si>
    <t>North Hanover</t>
  </si>
  <si>
    <t>Nutley</t>
  </si>
  <si>
    <t>Old Bridge</t>
  </si>
  <si>
    <t>Oldmans</t>
  </si>
  <si>
    <t>Oxford</t>
  </si>
  <si>
    <t>Parsippany-Troy Hills</t>
  </si>
  <si>
    <t>Pennsauken</t>
  </si>
  <si>
    <t>Pennsville</t>
  </si>
  <si>
    <t>Pequannock</t>
  </si>
  <si>
    <t>Pilesgrove</t>
  </si>
  <si>
    <t>Piscataway</t>
  </si>
  <si>
    <t>Pittsgrove</t>
  </si>
  <si>
    <t>Plainsboro</t>
  </si>
  <si>
    <t>Plumsted</t>
  </si>
  <si>
    <t>Pohatcong</t>
  </si>
  <si>
    <t>Quinton</t>
  </si>
  <si>
    <t>Randolph</t>
  </si>
  <si>
    <t>Readington</t>
  </si>
  <si>
    <t>River Vale</t>
  </si>
  <si>
    <t>Riverside</t>
  </si>
  <si>
    <t>Robbinsville</t>
  </si>
  <si>
    <t>Rochelle Park</t>
  </si>
  <si>
    <t>Roxbury</t>
  </si>
  <si>
    <t>Saddle Brook</t>
  </si>
  <si>
    <t>Sandyston</t>
  </si>
  <si>
    <t>Scotch Plains</t>
  </si>
  <si>
    <t>Shamong</t>
  </si>
  <si>
    <t>South Brunswick</t>
  </si>
  <si>
    <t>South Hackensack</t>
  </si>
  <si>
    <t>South Harrison</t>
  </si>
  <si>
    <t>Southampton</t>
  </si>
  <si>
    <t>Sparta</t>
  </si>
  <si>
    <t>Springfield</t>
  </si>
  <si>
    <t>Stafford</t>
  </si>
  <si>
    <t>Stillwater</t>
  </si>
  <si>
    <t>Stow Creek</t>
  </si>
  <si>
    <t>Tabernacle</t>
  </si>
  <si>
    <t>Teaneck</t>
  </si>
  <si>
    <t>Tewksbury</t>
  </si>
  <si>
    <t>Toms River</t>
  </si>
  <si>
    <t>Upper Deerfield</t>
  </si>
  <si>
    <t>Upper Freehold</t>
  </si>
  <si>
    <t>Upper Pittsgrove</t>
  </si>
  <si>
    <t>Upper</t>
  </si>
  <si>
    <t>Vernon</t>
  </si>
  <si>
    <t>Verona</t>
  </si>
  <si>
    <t>Voorhees</t>
  </si>
  <si>
    <t>Wall</t>
  </si>
  <si>
    <t>Walpack</t>
  </si>
  <si>
    <t>Wantage</t>
  </si>
  <si>
    <t>Waterford</t>
  </si>
  <si>
    <t>Wayne</t>
  </si>
  <si>
    <t>Weehawken</t>
  </si>
  <si>
    <t>West Amwell</t>
  </si>
  <si>
    <t>West Caldwell</t>
  </si>
  <si>
    <t>West Deptford</t>
  </si>
  <si>
    <t>West Milford</t>
  </si>
  <si>
    <t>West Orange</t>
  </si>
  <si>
    <t>West Windsor</t>
  </si>
  <si>
    <t>Westampton</t>
  </si>
  <si>
    <t>Weymouth</t>
  </si>
  <si>
    <t>White</t>
  </si>
  <si>
    <t>Willingboro</t>
  </si>
  <si>
    <t>Winfield</t>
  </si>
  <si>
    <t>Winslow</t>
  </si>
  <si>
    <t>Woodbridge</t>
  </si>
  <si>
    <t>Woodland</t>
  </si>
  <si>
    <t>Woolwich</t>
  </si>
  <si>
    <t>Wyckoff</t>
  </si>
  <si>
    <t>Absecon</t>
  </si>
  <si>
    <t>Asbury Park</t>
  </si>
  <si>
    <t>Bayonne</t>
  </si>
  <si>
    <t>Beverly</t>
  </si>
  <si>
    <t>Bridgeton</t>
  </si>
  <si>
    <t>Brigantine</t>
  </si>
  <si>
    <t>Clifton</t>
  </si>
  <si>
    <t>East Orange</t>
  </si>
  <si>
    <t>Elizabeth</t>
  </si>
  <si>
    <t>Englewood</t>
  </si>
  <si>
    <t>Estell Manor</t>
  </si>
  <si>
    <t>Garfield</t>
  </si>
  <si>
    <t>Hackensack</t>
  </si>
  <si>
    <t>Hoboken</t>
  </si>
  <si>
    <t>Lambertville</t>
  </si>
  <si>
    <t>Linden</t>
  </si>
  <si>
    <t>Linwood</t>
  </si>
  <si>
    <t>Long Branch</t>
  </si>
  <si>
    <t>Millville</t>
  </si>
  <si>
    <t>New Brunswick</t>
  </si>
  <si>
    <t>Newark</t>
  </si>
  <si>
    <t>North Wildwood</t>
  </si>
  <si>
    <t>Northfield</t>
  </si>
  <si>
    <t>Orange</t>
  </si>
  <si>
    <t>Paterson</t>
  </si>
  <si>
    <t>Perth Amboy</t>
  </si>
  <si>
    <t>Plainfield</t>
  </si>
  <si>
    <t>Pleasantville</t>
  </si>
  <si>
    <t>Port Republic</t>
  </si>
  <si>
    <t>Rahway</t>
  </si>
  <si>
    <t>Somers Point</t>
  </si>
  <si>
    <t>South Amboy</t>
  </si>
  <si>
    <t>Summit</t>
  </si>
  <si>
    <t>Surf</t>
  </si>
  <si>
    <t>Trenton</t>
  </si>
  <si>
    <t>Vineland</t>
  </si>
  <si>
    <t>Wildwood</t>
  </si>
  <si>
    <t>Woodbury</t>
  </si>
  <si>
    <t>City of Orange</t>
  </si>
  <si>
    <t>Belvidere</t>
  </si>
  <si>
    <t>Dover</t>
  </si>
  <si>
    <t>Guttenberg</t>
  </si>
  <si>
    <t>Hackettstown</t>
  </si>
  <si>
    <t>Kearny</t>
  </si>
  <si>
    <t>Morristown</t>
  </si>
  <si>
    <t>Newton</t>
  </si>
  <si>
    <t>Phillipsburg</t>
  </si>
  <si>
    <t>Secaucus</t>
  </si>
  <si>
    <t>West New York</t>
  </si>
  <si>
    <t>Westfield</t>
  </si>
  <si>
    <t>Atlantic City</t>
  </si>
  <si>
    <t>Gloucester City</t>
  </si>
  <si>
    <t>Jersey City</t>
  </si>
  <si>
    <t>Ocean City</t>
  </si>
  <si>
    <t>Union City</t>
  </si>
  <si>
    <t>Township</t>
  </si>
  <si>
    <t>Borough</t>
  </si>
  <si>
    <t>City</t>
  </si>
  <si>
    <t>Village</t>
  </si>
  <si>
    <t>Loch Arbour</t>
  </si>
  <si>
    <t>Ridgefield Park</t>
  </si>
  <si>
    <t>Ridgewood</t>
  </si>
  <si>
    <t>1001</t>
  </si>
  <si>
    <t>2101</t>
  </si>
  <si>
    <t>Alexandria Township</t>
  </si>
  <si>
    <t>Allamuchy Township</t>
  </si>
  <si>
    <t>Alexandria</t>
  </si>
  <si>
    <t>Allamuchy</t>
  </si>
  <si>
    <t>Muncode</t>
  </si>
  <si>
    <t>Lake Como</t>
  </si>
  <si>
    <t>Lake Como Borough</t>
  </si>
  <si>
    <t>Lake Como Borough, Monmouth County</t>
  </si>
  <si>
    <t>Mayor-6 Council Members</t>
  </si>
  <si>
    <t>Mayor-7 Council Members</t>
  </si>
  <si>
    <t>3 Committee Members</t>
  </si>
  <si>
    <t>Mayor-4 Council Members</t>
  </si>
  <si>
    <t>3 Commissioners</t>
  </si>
  <si>
    <t>5 Committee Members</t>
  </si>
  <si>
    <t>5 Council Members</t>
  </si>
  <si>
    <t>Mayor-9 Council Members</t>
  </si>
  <si>
    <t>Mayor-5 Council Members</t>
  </si>
  <si>
    <t>7 Council Members</t>
  </si>
  <si>
    <t>Mayor-8 Alder Persons</t>
  </si>
  <si>
    <t>Mayor-3 Council Members</t>
  </si>
  <si>
    <t>Mayor-10 Council Members</t>
  </si>
  <si>
    <t>Mayor-8 Council Members</t>
  </si>
  <si>
    <t>Mayor-11 Council Members</t>
  </si>
  <si>
    <t>5 Commissioners</t>
  </si>
  <si>
    <t>3 Council Members</t>
  </si>
  <si>
    <t>President -6 Trustees</t>
  </si>
  <si>
    <t>Mayor-8 Committee Members</t>
  </si>
  <si>
    <t>Council Members</t>
  </si>
  <si>
    <t>Committeepersons</t>
  </si>
  <si>
    <t>Commissioners</t>
  </si>
  <si>
    <t>Alderpersons</t>
  </si>
  <si>
    <t>Trustees</t>
  </si>
  <si>
    <t>Governing Body Members</t>
  </si>
  <si>
    <t>Sheet  41</t>
  </si>
  <si>
    <t xml:space="preserve"> </t>
  </si>
  <si>
    <t>Subtotal - Cash Liabilities</t>
  </si>
  <si>
    <t>Accrued Interest on Bonds and Notes</t>
  </si>
  <si>
    <t>Encumbrances Payable</t>
  </si>
  <si>
    <t>Appropriation Reserves</t>
  </si>
  <si>
    <t>Sheet  41a</t>
  </si>
  <si>
    <t>CONTRACTS PAYABLE</t>
  </si>
  <si>
    <t>BOND ANTICIPATION NOTES</t>
  </si>
  <si>
    <t>BONDS PAYABLE</t>
  </si>
  <si>
    <t>Sheet  42</t>
  </si>
  <si>
    <t>Sheet  43</t>
  </si>
  <si>
    <t>Sheet  44</t>
  </si>
  <si>
    <t>"Overexpenditures" must equal the sum of "Total Expenditures" and "Unexpended Balances Canceled"</t>
  </si>
  <si>
    <t>Are not to be shown as "Paid or Charged" in the budget document.  In all instances "Total Appropriations" and</t>
  </si>
  <si>
    <t>this item.</t>
  </si>
  <si>
    <t>Every appropriation overexpended in the budget document must be marked with an * and must agree in aggregate with</t>
  </si>
  <si>
    <t>FOOTNOTES: - RE: OVEREXPENDITURES:</t>
  </si>
  <si>
    <t>agree with amounts shown for such items on Sheet 45.</t>
  </si>
  <si>
    <t>** Amount in "Received in Cash" column for "Deficit (General Budget)" and amount expended for "Surplus (General Budget)" must</t>
  </si>
  <si>
    <t>Deficit (General Budget) **</t>
  </si>
  <si>
    <t>Capital Fund Balance</t>
  </si>
  <si>
    <t>Reserve for Debt Service</t>
  </si>
  <si>
    <t>Operating Surplus Anticipated with Consent of</t>
  </si>
  <si>
    <t>Operating Surplus Anticipated</t>
  </si>
  <si>
    <t>Sheet  45</t>
  </si>
  <si>
    <r>
      <t>**</t>
    </r>
    <r>
      <rPr>
        <sz val="8"/>
        <rFont val="Arial"/>
        <family val="2"/>
      </rPr>
      <t xml:space="preserve"> Items must be shown in same amounts on Sheet 44.</t>
    </r>
  </si>
  <si>
    <t>("Operating Deficit - to Trial Balance" - Sheet 46)</t>
  </si>
  <si>
    <r>
      <t>Section 2 should be filled out in every case</t>
    </r>
    <r>
      <rPr>
        <sz val="10"/>
        <rFont val="Arial"/>
        <family val="2"/>
      </rPr>
      <t>.</t>
    </r>
  </si>
  <si>
    <t>Sheet  46</t>
  </si>
  <si>
    <t>"other Assets" would be also pledged to cash liabilities.</t>
  </si>
  <si>
    <r>
      <t xml:space="preserve">* See </t>
    </r>
    <r>
      <rPr>
        <u/>
        <sz val="8"/>
        <rFont val="Arial"/>
        <family val="2"/>
      </rPr>
      <t>restriction</t>
    </r>
    <r>
      <rPr>
        <sz val="8"/>
        <rFont val="Arial"/>
        <family val="2"/>
      </rPr>
      <t xml:space="preserve"> in amount on Sheet 45, SECTION 2</t>
    </r>
  </si>
  <si>
    <t>Deficit in Anticipated Revenues</t>
  </si>
  <si>
    <t>Sheet  47</t>
  </si>
  <si>
    <t>Sheet  48</t>
  </si>
  <si>
    <t>Sheet  49</t>
  </si>
  <si>
    <t>Sheet  49a</t>
  </si>
  <si>
    <t>Sheet  50</t>
  </si>
  <si>
    <t>Sheet  51</t>
  </si>
  <si>
    <t>Sheet  51a</t>
  </si>
  <si>
    <t>For Prinicpal</t>
  </si>
  <si>
    <t>Sheet  52</t>
  </si>
  <si>
    <t>Sheet  53</t>
  </si>
  <si>
    <t>Sheet  54</t>
  </si>
  <si>
    <t>Appropriated to Finance Improvement Authorization</t>
  </si>
  <si>
    <t>Next Year End</t>
  </si>
  <si>
    <t>Current Fund - Beginning Fund Balance</t>
  </si>
  <si>
    <t>Current Fund - Ending Fund Balance</t>
  </si>
  <si>
    <t>Current Fund - Cash</t>
  </si>
  <si>
    <t>Current Fund - Investments</t>
  </si>
  <si>
    <t>Total Expenditures - General Budget Appropriation</t>
  </si>
  <si>
    <t>Outstanding General Bonded Debt</t>
  </si>
  <si>
    <t>Outstanding General Note Debt</t>
  </si>
  <si>
    <t>Outstanding Capital Lease Obligations</t>
  </si>
  <si>
    <t>Outstanding General Loan Debt</t>
  </si>
  <si>
    <t>Current Fund - Cash Liabilities</t>
  </si>
  <si>
    <t>Total General Budget Revenues</t>
  </si>
  <si>
    <t>3 &amp; 3a</t>
  </si>
  <si>
    <t>General Capital</t>
  </si>
  <si>
    <t>Grant Fund</t>
  </si>
  <si>
    <t>DUE FROM/TO STATE - VETERANS AND SENIOR CITIZENS</t>
  </si>
  <si>
    <t>INVESTMENTS</t>
  </si>
  <si>
    <t>TAX OVERPAYMENTS</t>
  </si>
  <si>
    <t>PREPAID TAXES</t>
  </si>
  <si>
    <t>DUE TO STATE:</t>
  </si>
  <si>
    <t>DCA TRAINING FEES</t>
  </si>
  <si>
    <t>DUE TO -</t>
  </si>
  <si>
    <t>GENERAL SERIAL BONDS</t>
  </si>
  <si>
    <t>TYPE 1 SCHOOL BONDS</t>
  </si>
  <si>
    <t>DOWN PAYMENTS ON IMPROVEMENTS</t>
  </si>
  <si>
    <t>ASSESSMENT NOTES</t>
  </si>
  <si>
    <t>ASSESSMENT SERIAL BONDS</t>
  </si>
  <si>
    <t>Receivables Offset with Reserves:</t>
  </si>
  <si>
    <t>Consumer Accounts Receivable</t>
  </si>
  <si>
    <t>Liens Receivable</t>
  </si>
  <si>
    <t>Deferred Charges (Sheet 48)</t>
  </si>
  <si>
    <t>Cash Liabilities:</t>
  </si>
  <si>
    <t>Deficit in Operations</t>
  </si>
  <si>
    <t>Total Operating</t>
  </si>
  <si>
    <t>need this formula in M32 to calculate M33 orM38 - hide formula from user</t>
  </si>
  <si>
    <t>need this formula in M10 to calculate M33 orM38 - hide formula from user</t>
  </si>
  <si>
    <t>Proof</t>
  </si>
  <si>
    <t>Miscellaneous</t>
  </si>
  <si>
    <t>Due from -</t>
  </si>
  <si>
    <t>Due  to -</t>
  </si>
  <si>
    <t>Reserve for Consumer Accounts and Lien Receivable</t>
  </si>
  <si>
    <t xml:space="preserve">Total      </t>
  </si>
  <si>
    <t>Receivables with Full Reserves:</t>
  </si>
  <si>
    <t>CONTRACT SALES RECEIVABLE</t>
  </si>
  <si>
    <t>MORTGAGE SALES RECEIVABLE</t>
  </si>
  <si>
    <t>MARRIAGE LICENCE</t>
  </si>
  <si>
    <t>LOCAL SCHOOL TAX PAYABLE</t>
  </si>
  <si>
    <t>REGIONAL SCHOOL TAX PAYABLE</t>
  </si>
  <si>
    <t>REGIONAL H.S.TAX PAYABLE</t>
  </si>
  <si>
    <t>DUE COUNTY - ADDED &amp; OMMITTED</t>
  </si>
  <si>
    <t>SPECIAL DISTRICT TAX PAYABLE</t>
  </si>
  <si>
    <t>RESERVE FOR TAX APPEAL</t>
  </si>
  <si>
    <t>DUE TO STATE OF NJ</t>
  </si>
  <si>
    <t>FUND TOTALS</t>
  </si>
  <si>
    <t>RESERVE FOR:</t>
  </si>
  <si>
    <t>ASSESSMENT TRUST FUND</t>
  </si>
  <si>
    <t>MUNICIPAL OPEN SPACE TRUST FUND</t>
  </si>
  <si>
    <t>LOSAP TRUST FUND</t>
  </si>
  <si>
    <t>CDBG TRUST FUND</t>
  </si>
  <si>
    <t>OTHER TRUST FUNDS</t>
  </si>
  <si>
    <t>Trust - Municipal Open Space</t>
  </si>
  <si>
    <t>Trust - LOSAP</t>
  </si>
  <si>
    <t>Trust - CDBG</t>
  </si>
  <si>
    <t>Trust - Other</t>
  </si>
  <si>
    <t>Trust - Assessment</t>
  </si>
  <si>
    <t>UTILITIES:</t>
  </si>
  <si>
    <t>ADD YOUR UTILITIES AS NEEDED</t>
  </si>
  <si>
    <t>Sheet  9a.1</t>
  </si>
  <si>
    <t>Sheet  9a.2</t>
  </si>
  <si>
    <t>Sheet  9a.3</t>
  </si>
  <si>
    <t>TOTAL DEFERRED CHARGES</t>
  </si>
  <si>
    <t>MUST AGREE</t>
  </si>
  <si>
    <t>OTHER TRUST FUNDS (continued)</t>
  </si>
  <si>
    <t>Previous Totals</t>
  </si>
  <si>
    <t>OTHER TRUST FUNDS PAGE TOTAL</t>
  </si>
  <si>
    <t>Sheet  6.2</t>
  </si>
  <si>
    <t>Sheet  6.3</t>
  </si>
  <si>
    <t>Sheet  6.4</t>
  </si>
  <si>
    <t>Sheet 6b.1</t>
  </si>
  <si>
    <t>Sheet  6. TOTALS</t>
  </si>
  <si>
    <t>PAGE TOTAL</t>
  </si>
  <si>
    <t>PREVIOUS PAGE TOTAL</t>
  </si>
  <si>
    <t>Sheet 6b.2</t>
  </si>
  <si>
    <t>Sheet 6b.3</t>
  </si>
  <si>
    <t>Sheet 6b TOTAL</t>
  </si>
  <si>
    <t>Sheet  9a TOTAL</t>
  </si>
  <si>
    <t>Leave blank if CFO prepared</t>
  </si>
  <si>
    <t>PAGE TOTALS</t>
  </si>
  <si>
    <t>PREVIOUS PAGE TOTALS</t>
  </si>
  <si>
    <t>Sheet  10.1</t>
  </si>
  <si>
    <t>Sheet  10.2</t>
  </si>
  <si>
    <t>Sheet  10.3</t>
  </si>
  <si>
    <t>Sheet  10.4</t>
  </si>
  <si>
    <t>Sheet  10.5</t>
  </si>
  <si>
    <t>Sheet  10.6</t>
  </si>
  <si>
    <t>Sheet  10.7</t>
  </si>
  <si>
    <t>Sheet  10.9</t>
  </si>
  <si>
    <t>Sheet  10.8</t>
  </si>
  <si>
    <t>Sheet  10.10</t>
  </si>
  <si>
    <t>Sheet  10.11</t>
  </si>
  <si>
    <t>Sheet  10.12</t>
  </si>
  <si>
    <t>Sheet  10.13</t>
  </si>
  <si>
    <t>Sheet  10.14</t>
  </si>
  <si>
    <t>Sheet  10.15</t>
  </si>
  <si>
    <t>Sheet  10.16</t>
  </si>
  <si>
    <t>Sheet  10.17</t>
  </si>
  <si>
    <t>Sheet  10.19</t>
  </si>
  <si>
    <t>Sheet  10.18</t>
  </si>
  <si>
    <t>Sheet  10.20</t>
  </si>
  <si>
    <t>Sheet  10.21</t>
  </si>
  <si>
    <t>Sheet  10.22</t>
  </si>
  <si>
    <t>Sheet  10.23</t>
  </si>
  <si>
    <t>Sheet  10.24</t>
  </si>
  <si>
    <t xml:space="preserve"> TOTALS</t>
  </si>
  <si>
    <t>Sheet  11.1</t>
  </si>
  <si>
    <t>Sheet  11.2</t>
  </si>
  <si>
    <t>Sheet  11.3</t>
  </si>
  <si>
    <t>Sheet  11.4</t>
  </si>
  <si>
    <t>Sheet  11.5</t>
  </si>
  <si>
    <t>Sheet  11.6</t>
  </si>
  <si>
    <t>Sheet  11.7</t>
  </si>
  <si>
    <t>Sheet  11.8</t>
  </si>
  <si>
    <t>Sheet  11.9</t>
  </si>
  <si>
    <t>Sheet  11.10</t>
  </si>
  <si>
    <t>Sheet  11.11</t>
  </si>
  <si>
    <t>Sheet  11.12</t>
  </si>
  <si>
    <t>Sheet  11.13</t>
  </si>
  <si>
    <t>Sheet  11.14</t>
  </si>
  <si>
    <t>Sheet  11.15</t>
  </si>
  <si>
    <t>Sheet  11.16</t>
  </si>
  <si>
    <t>Sheet  11.17</t>
  </si>
  <si>
    <t>Sheet  11.18</t>
  </si>
  <si>
    <t>Sheet  11.20</t>
  </si>
  <si>
    <t>Sheet  11.19</t>
  </si>
  <si>
    <t>Sheet  11.21</t>
  </si>
  <si>
    <t>Sheet  11.22</t>
  </si>
  <si>
    <t>Sheet  11.23</t>
  </si>
  <si>
    <t>Sheet  11.24</t>
  </si>
  <si>
    <t>Sheet  11.25</t>
  </si>
  <si>
    <t>Sheet  11.26</t>
  </si>
  <si>
    <t>Sheet  11.27</t>
  </si>
  <si>
    <t>Sheet  11.28</t>
  </si>
  <si>
    <t>Sheet  11.29</t>
  </si>
  <si>
    <t>Sheet  11.30</t>
  </si>
  <si>
    <t>Sheet  11.31</t>
  </si>
  <si>
    <t>Sheet  11.32</t>
  </si>
  <si>
    <t>Sheet  11.33</t>
  </si>
  <si>
    <t>Sheet  11.34</t>
  </si>
  <si>
    <t>Sheet  11.35</t>
  </si>
  <si>
    <t>Sheet  11.36</t>
  </si>
  <si>
    <t>Sheet  11.37</t>
  </si>
  <si>
    <t>Sheet  11.38</t>
  </si>
  <si>
    <t>Sheet  11.39</t>
  </si>
  <si>
    <t>Sheet  11 Totals</t>
  </si>
  <si>
    <t>Sheet  12.2</t>
  </si>
  <si>
    <t>Sheet  12 Totals</t>
  </si>
  <si>
    <t>Sheet  17a.2</t>
  </si>
  <si>
    <t>Sheet  17a.1</t>
  </si>
  <si>
    <t>Sheet  17a.3</t>
  </si>
  <si>
    <t>Sheet  17a Totals</t>
  </si>
  <si>
    <t>Sheet  20.1</t>
  </si>
  <si>
    <t>Page Total Amount of Miscellaneous Revenues Not Anticipated (Sheet 19)</t>
  </si>
  <si>
    <t>Sheet  20 Totals</t>
  </si>
  <si>
    <t>Sheet  31a.2</t>
  </si>
  <si>
    <t>Sheet  31a.1</t>
  </si>
  <si>
    <t>Sheet  33.1</t>
  </si>
  <si>
    <t xml:space="preserve">Page Totals    </t>
  </si>
  <si>
    <t xml:space="preserve">PAGE TOTALS    </t>
  </si>
  <si>
    <t>Sheet  33 Totals</t>
  </si>
  <si>
    <t>GRAND TOTALS</t>
  </si>
  <si>
    <t>Need to be able to choose if completed or not.User needs to strike out  "Which I have prepared " or "Which I have not prepared"  Default to "NOT"</t>
  </si>
  <si>
    <r>
      <t xml:space="preserve">The undersigned certifies </t>
    </r>
    <r>
      <rPr>
        <u/>
        <sz val="10"/>
        <rFont val="Arial"/>
        <family val="2"/>
      </rPr>
      <t xml:space="preserve">that this municipality does not meet item(s)          </t>
    </r>
  </si>
  <si>
    <t>Need to be able to choose if completed or not.User needs to strike out  ""except for circumstances as set forth below, no matters" " or " No matters"  Default to "no matters"</t>
  </si>
  <si>
    <t>SCHEDULE OF TRUST FUND RESERVES</t>
  </si>
  <si>
    <t>SCHEDULE OF TRUST FUND RESERVES (CONT'D)</t>
  </si>
  <si>
    <t>TOTAL PAGE</t>
  </si>
  <si>
    <t>(c) Minimum Library Tax</t>
  </si>
  <si>
    <t>DO NOT REMOVE formula in K40 to calculate H40 &amp;I39 - hide formula from user</t>
  </si>
  <si>
    <t>DO NOT REMOVE THIS FORMULA</t>
  </si>
  <si>
    <t>EMERGENCY  AUTHORIZATIONS  UNDER  N.J.S.A.  40A:4-47  WHICH  HAVE  BEEN</t>
  </si>
  <si>
    <t>Sheet  49a.1</t>
  </si>
  <si>
    <t>Sheet  52.1</t>
  </si>
  <si>
    <t>Sheet  52.2</t>
  </si>
  <si>
    <t>Sheet  52.3</t>
  </si>
  <si>
    <t>Sheet  52.4</t>
  </si>
  <si>
    <t xml:space="preserve">PAGE TOTALS </t>
  </si>
  <si>
    <t>Sheet  52 Totals</t>
  </si>
  <si>
    <t xml:space="preserve">       TOTALS    </t>
  </si>
  <si>
    <t xml:space="preserve">PAGE TOTALS  </t>
  </si>
  <si>
    <t xml:space="preserve">TOTALS  </t>
  </si>
  <si>
    <t xml:space="preserve">Other </t>
  </si>
  <si>
    <t>Sheet  8.1</t>
  </si>
  <si>
    <t>Sheet  10 Totals</t>
  </si>
  <si>
    <t>Sheet  12.1</t>
  </si>
  <si>
    <t>Do Not Remove this formula</t>
  </si>
  <si>
    <t>Do Not Remove This Formula</t>
  </si>
  <si>
    <t>Do Not Remove this Formula</t>
  </si>
  <si>
    <t>As the CFO, did you prepare this annual financial statement? Type Y/N in the grey box below.</t>
  </si>
  <si>
    <t>(which I have prepared)</t>
  </si>
  <si>
    <t>(which I have not prepared)</t>
  </si>
  <si>
    <t>[eliminate one]</t>
  </si>
  <si>
    <t>(except for circumstances as set forth below, no matters)</t>
  </si>
  <si>
    <t>(no matters)</t>
  </si>
  <si>
    <t>Statement is not in substantial compliance? Type Y/N in the grey box below.</t>
  </si>
  <si>
    <t>agreed-upon procedures,</t>
  </si>
  <si>
    <t xml:space="preserve">(except for circumstances as set forth below, no matters) </t>
  </si>
  <si>
    <t xml:space="preserve">[eliminate one] </t>
  </si>
  <si>
    <t>came to my attention that caused me to believe that the Annual</t>
  </si>
  <si>
    <t>LOANS PAYABLE</t>
  </si>
  <si>
    <t>Deductions Allowed By Tax Collector</t>
  </si>
  <si>
    <t>Deductions Disallowed By Tax Collector</t>
  </si>
  <si>
    <t>UTILITY 1</t>
  </si>
  <si>
    <t>UTILITY 2</t>
  </si>
  <si>
    <t>UTILITY 3</t>
  </si>
  <si>
    <t>UTILITY 4</t>
  </si>
  <si>
    <t>UTILITY 5</t>
  </si>
  <si>
    <t>UTILITY 6</t>
  </si>
  <si>
    <t>CAPITAL LEASES PAYABLE</t>
  </si>
  <si>
    <t>Amount due School Districts for School Tax</t>
  </si>
  <si>
    <t>Sheet  41a.1</t>
  </si>
  <si>
    <t xml:space="preserve">As the RMA, did you list any circumstances below that caused you to believe that this Annual Financial </t>
  </si>
  <si>
    <t>General Instructions to Complete the Annual Financial Statement Workbook</t>
  </si>
  <si>
    <t>a)</t>
  </si>
  <si>
    <t>b)</t>
  </si>
  <si>
    <t>c)</t>
  </si>
  <si>
    <t xml:space="preserve">The individual spreadsheets containing formulas are locked to protect the formulas. </t>
  </si>
  <si>
    <t>d)</t>
  </si>
  <si>
    <r>
      <t>Fill in only the gray sections of the</t>
    </r>
    <r>
      <rPr>
        <sz val="13"/>
        <rFont val="Cambria"/>
        <family val="1"/>
      </rPr>
      <t xml:space="preserve"> worksheet. </t>
    </r>
  </si>
  <si>
    <t>e)</t>
  </si>
  <si>
    <t>f)</t>
  </si>
  <si>
    <t>g)</t>
  </si>
  <si>
    <t>h)</t>
  </si>
  <si>
    <t>i)</t>
  </si>
  <si>
    <t>0100</t>
  </si>
  <si>
    <t>0200</t>
  </si>
  <si>
    <t>0300</t>
  </si>
  <si>
    <t>0400</t>
  </si>
  <si>
    <t>0500</t>
  </si>
  <si>
    <t>0600</t>
  </si>
  <si>
    <t>0700</t>
  </si>
  <si>
    <t>0800</t>
  </si>
  <si>
    <t>0900</t>
  </si>
  <si>
    <t>1000</t>
  </si>
  <si>
    <t>1100</t>
  </si>
  <si>
    <t>1200</t>
  </si>
  <si>
    <t>1300</t>
  </si>
  <si>
    <t>1400</t>
  </si>
  <si>
    <t>1500</t>
  </si>
  <si>
    <t>1600</t>
  </si>
  <si>
    <t>1700</t>
  </si>
  <si>
    <t>1800</t>
  </si>
  <si>
    <t>1900</t>
  </si>
  <si>
    <t>2000</t>
  </si>
  <si>
    <t>2100</t>
  </si>
  <si>
    <t>County of Municipality / County</t>
  </si>
  <si>
    <t>Name of Municipality / County</t>
  </si>
  <si>
    <t>Atlantic County</t>
  </si>
  <si>
    <t>Bergen County</t>
  </si>
  <si>
    <t>Burlington County</t>
  </si>
  <si>
    <t>Camden County</t>
  </si>
  <si>
    <t>Cape May County</t>
  </si>
  <si>
    <t>Cumberland County</t>
  </si>
  <si>
    <t>Essex County</t>
  </si>
  <si>
    <t>Gloucester County</t>
  </si>
  <si>
    <t>Hudson County</t>
  </si>
  <si>
    <t>Hunterdon County</t>
  </si>
  <si>
    <t>Mercer County</t>
  </si>
  <si>
    <t>Middlesex County</t>
  </si>
  <si>
    <t>Monmouth County</t>
  </si>
  <si>
    <t>Morris County</t>
  </si>
  <si>
    <t>Ocean County</t>
  </si>
  <si>
    <t>Passaic County</t>
  </si>
  <si>
    <t>Salem County</t>
  </si>
  <si>
    <t>Somerset County</t>
  </si>
  <si>
    <t>Sussex County</t>
  </si>
  <si>
    <t>Union County</t>
  </si>
  <si>
    <t>Warren County</t>
  </si>
  <si>
    <t>Atlantic County, Atlantic County</t>
  </si>
  <si>
    <t>Bergen County, Bergen County</t>
  </si>
  <si>
    <t>Burlington County, Burlington County</t>
  </si>
  <si>
    <t>Camden County, Camden County</t>
  </si>
  <si>
    <t>Cape May County, Cape May County</t>
  </si>
  <si>
    <t>Cumberland County, Cumberland County</t>
  </si>
  <si>
    <t>Essex County, Essex County</t>
  </si>
  <si>
    <t>Gloucester County, Gloucester County</t>
  </si>
  <si>
    <t>Hudson County, Hudson County</t>
  </si>
  <si>
    <t>Hunterdon County, Hunterdon County</t>
  </si>
  <si>
    <t>Mercer County, Mercer County</t>
  </si>
  <si>
    <t>Middlesex County, Middlesex County</t>
  </si>
  <si>
    <t>Monmouth County, Monmouth County</t>
  </si>
  <si>
    <t>Morris County, Morris County</t>
  </si>
  <si>
    <t>Ocean County, Ocean County</t>
  </si>
  <si>
    <t>Passaic County, Passaic County</t>
  </si>
  <si>
    <t>Salem County, Salem County</t>
  </si>
  <si>
    <t>Somerset County, Somerset County</t>
  </si>
  <si>
    <t>Sussex County, Sussex County</t>
  </si>
  <si>
    <t>Union County, Union County</t>
  </si>
  <si>
    <t>Warren County, Warren County</t>
  </si>
  <si>
    <t>GENERAL  CAPITAL  BONDS</t>
  </si>
  <si>
    <t>Overexpenditure of Appropriations</t>
  </si>
  <si>
    <t>MUST PICK BETWEEN SCHOOL YEAR AND CALENDAR YEAR</t>
  </si>
  <si>
    <t>COUNTY TAX PAYABLE</t>
  </si>
  <si>
    <t xml:space="preserve"> of the criteria above and therefore does not qualify for local</t>
  </si>
  <si>
    <t>Column I formula will be overridden if revenue is not realized</t>
  </si>
  <si>
    <t>Rents Levied</t>
  </si>
  <si>
    <t>Total Capital</t>
  </si>
  <si>
    <t>("Excess in Operations" - Sheet 46)</t>
  </si>
  <si>
    <t>User Charges Levied</t>
  </si>
  <si>
    <t>Transfer to Liens</t>
  </si>
  <si>
    <t>DLGS</t>
  </si>
  <si>
    <t>Sheet  3a.1</t>
  </si>
  <si>
    <t>TOTALS FROM PAGE 3a</t>
  </si>
  <si>
    <t>TOTALS FROM PAGE 3</t>
  </si>
  <si>
    <t>This workbook is composed of several individual worksheets to complete the Annual Financial Statement.</t>
  </si>
  <si>
    <t>Begin by navigating to the "Key Inputs" tab.</t>
  </si>
  <si>
    <t xml:space="preserve"> It is designed to automatically calculate linked schedules from each of the data entry points. </t>
  </si>
  <si>
    <t>Sheet  35.1</t>
  </si>
  <si>
    <t>Sheet  35.2</t>
  </si>
  <si>
    <t>Sheet  35.3</t>
  </si>
  <si>
    <t>Sheet  35.4</t>
  </si>
  <si>
    <t>Sheet  35.5</t>
  </si>
  <si>
    <t>Sheet  35.6</t>
  </si>
  <si>
    <t>Sheet  35.7</t>
  </si>
  <si>
    <t>Sheet  35.8</t>
  </si>
  <si>
    <t>Sheet  35.9</t>
  </si>
  <si>
    <t>Sheet  35 Totals</t>
  </si>
  <si>
    <t>Quick Guide:</t>
  </si>
  <si>
    <t>https://www.nj.gov/dca/divisions/dlgs/pdf/FAST%20AFS%20Quick%20User%20Guide.pdf</t>
  </si>
  <si>
    <t>Caldwell Borough</t>
  </si>
  <si>
    <t>Caldwell Borough, Essex County</t>
  </si>
  <si>
    <t>Surplus Anticipated with Consent of Dir. of Local Gov't Services</t>
  </si>
  <si>
    <t>Levy Tax Collection Rate</t>
  </si>
  <si>
    <t>Utility Operating Surplus Appropriated in Budget</t>
  </si>
  <si>
    <t>Current Fund - Cash Surplus</t>
  </si>
  <si>
    <t>Delinquent Taxes</t>
  </si>
  <si>
    <t>Foreclosure Sales Starting Balance</t>
  </si>
  <si>
    <t>Foreclosure Sales Ending Balance</t>
  </si>
  <si>
    <t>Deferred Charges</t>
  </si>
  <si>
    <t>Balance Sheet</t>
  </si>
  <si>
    <t>Appropriations</t>
  </si>
  <si>
    <t>Revenues</t>
  </si>
  <si>
    <t xml:space="preserve">Outstanding Debt </t>
  </si>
  <si>
    <t>Municode</t>
  </si>
  <si>
    <t>Current Fund - Result of Operation</t>
  </si>
  <si>
    <t>Type 1 School District Bonded Debt</t>
  </si>
  <si>
    <t>Board of County Commissioners</t>
  </si>
  <si>
    <t>N.J.S.A.  40A:4-53  SPECIAL  EMERGENCY  -</t>
  </si>
  <si>
    <r>
      <t>N.J.S.A. 40A:4-55.13, ET SEQ.</t>
    </r>
    <r>
      <rPr>
        <sz val="14"/>
        <rFont val="Times New Roman"/>
        <family val="1"/>
      </rPr>
      <t xml:space="preserve">,  </t>
    </r>
    <r>
      <rPr>
        <b/>
        <sz val="14"/>
        <rFont val="Times New Roman"/>
        <family val="1"/>
      </rPr>
      <t>SPECIAL EMERGENCY</t>
    </r>
    <r>
      <rPr>
        <sz val="14"/>
        <rFont val="Times New Roman"/>
        <family val="1"/>
      </rPr>
      <t xml:space="preserve"> - </t>
    </r>
    <r>
      <rPr>
        <sz val="12"/>
        <rFont val="Times New Roman"/>
        <family val="1"/>
      </rPr>
      <t>PUBLIC  EXIGENCIES CAUSED  BY  CIVIL  DISTURBANCES</t>
    </r>
  </si>
  <si>
    <r>
      <t>N.J.S.A. 40A:4-55.1, ET SEQ.</t>
    </r>
    <r>
      <rPr>
        <sz val="14"/>
        <rFont val="Times New Roman"/>
        <family val="1"/>
      </rPr>
      <t xml:space="preserve">, </t>
    </r>
    <r>
      <rPr>
        <b/>
        <sz val="14"/>
        <rFont val="Times New Roman"/>
        <family val="1"/>
      </rPr>
      <t xml:space="preserve"> SPECIAL EMERGENCY</t>
    </r>
    <r>
      <rPr>
        <sz val="14"/>
        <rFont val="Times New Roman"/>
        <family val="1"/>
      </rPr>
      <t xml:space="preserve"> - </t>
    </r>
    <r>
      <rPr>
        <sz val="12"/>
        <rFont val="Times New Roman"/>
        <family val="1"/>
      </rPr>
      <t>DAMAGE CAUSED  TO  ROADS  OR BRIDGES BY  SNOW,  ICE, FROST OR  FLOODS</t>
    </r>
  </si>
  <si>
    <t>It is hereby certified that all outstanding "Special Emergency" appropriations have been adopted by the governing body in full compliance with N.J.S.A. 40A:4-53 et seq. and</t>
  </si>
  <si>
    <t>It is hereby certified that all outstanding "Special Emergency" appropriations have been adopted by the governing body in full compliance with N.J.S.A. 40A:4-55.1 et seq. and</t>
  </si>
  <si>
    <t>Item No.14 multiplied by percentage shown above is</t>
  </si>
  <si>
    <t xml:space="preserve">UTILITY  SPECIAL  EMERGENCY </t>
  </si>
  <si>
    <t>Sheet  48a</t>
  </si>
  <si>
    <t>j)</t>
  </si>
  <si>
    <t xml:space="preserve">expenses or loss of revenue (N.J.S.A. 40A:4-53 (l) and (m)). </t>
  </si>
  <si>
    <r>
      <t xml:space="preserve">The municipality </t>
    </r>
    <r>
      <rPr>
        <b/>
        <sz val="10"/>
        <rFont val="Arial"/>
        <family val="2"/>
      </rPr>
      <t xml:space="preserve">did not </t>
    </r>
    <r>
      <rPr>
        <sz val="10"/>
        <rFont val="Arial"/>
        <family val="2"/>
      </rPr>
      <t>adopt a Special Emergency ordinance for COVID-related</t>
    </r>
  </si>
  <si>
    <r>
      <t xml:space="preserve">The current year budget </t>
    </r>
    <r>
      <rPr>
        <b/>
        <sz val="10"/>
        <rFont val="Arial"/>
        <family val="2"/>
      </rPr>
      <t>does</t>
    </r>
    <r>
      <rPr>
        <sz val="10"/>
        <rFont val="Arial"/>
        <family val="2"/>
      </rPr>
      <t xml:space="preserve"> </t>
    </r>
    <r>
      <rPr>
        <b/>
        <sz val="10"/>
        <rFont val="Arial"/>
        <family val="2"/>
      </rPr>
      <t>not</t>
    </r>
    <r>
      <rPr>
        <sz val="10"/>
        <rFont val="Arial"/>
        <family val="2"/>
      </rPr>
      <t xml:space="preserve"> contain a Levy or Appropriation "CAP" waiver.</t>
    </r>
  </si>
  <si>
    <r>
      <t xml:space="preserve">The municipality </t>
    </r>
    <r>
      <rPr>
        <b/>
        <sz val="10"/>
        <rFont val="Arial"/>
        <family val="2"/>
      </rPr>
      <t>did</t>
    </r>
    <r>
      <rPr>
        <sz val="10"/>
        <rFont val="Arial"/>
        <family val="2"/>
      </rPr>
      <t xml:space="preserve"> </t>
    </r>
    <r>
      <rPr>
        <b/>
        <sz val="10"/>
        <rFont val="Arial"/>
        <family val="2"/>
      </rPr>
      <t xml:space="preserve">not </t>
    </r>
    <r>
      <rPr>
        <sz val="10"/>
        <rFont val="Arial"/>
        <family val="2"/>
      </rPr>
      <t>conduct an accelerated tax sale for less than 3 consecutive</t>
    </r>
  </si>
  <si>
    <r>
      <t xml:space="preserve">The municipality </t>
    </r>
    <r>
      <rPr>
        <b/>
        <sz val="10"/>
        <rFont val="Arial"/>
        <family val="2"/>
      </rPr>
      <t>did</t>
    </r>
    <r>
      <rPr>
        <sz val="10"/>
        <rFont val="Arial"/>
        <family val="2"/>
      </rPr>
      <t xml:space="preserve"> </t>
    </r>
    <r>
      <rPr>
        <b/>
        <sz val="10"/>
        <rFont val="Arial"/>
        <family val="2"/>
      </rPr>
      <t xml:space="preserve">not </t>
    </r>
    <r>
      <rPr>
        <sz val="10"/>
        <rFont val="Arial"/>
        <family val="2"/>
      </rPr>
      <t>conduct a tax levy sale the previous fiscal year and does</t>
    </r>
  </si>
  <si>
    <t>ARTS AND CULTURAL TRUST FUND</t>
  </si>
  <si>
    <t>k)</t>
  </si>
  <si>
    <t>ANIMAL CONTROL TRUST FUND</t>
  </si>
  <si>
    <t>RESERVE FOR ANIMAL CONTROL TRUST FUND</t>
  </si>
  <si>
    <t>Trust - Animal Control</t>
  </si>
  <si>
    <t>0000</t>
  </si>
  <si>
    <t>UTILITY NAME(S)</t>
  </si>
  <si>
    <t>CALENDAR YEAR MUNICIPALITIES</t>
  </si>
  <si>
    <t>STATE FISCAL YEAR MUNICIPALITIES</t>
  </si>
  <si>
    <t>SHEET 6 (Trust Fund Trial Balance)</t>
  </si>
  <si>
    <t>SHEET 6B (Schedule of Trust Fund Deposits and Reserves)</t>
  </si>
  <si>
    <t>SHEET 9A (List of Banks Supporting 'Cash On Deposit')</t>
  </si>
  <si>
    <t>SHEET 10 (Grants Receivable)</t>
  </si>
  <si>
    <t>SHEET 11 (Grants Appropriated)</t>
  </si>
  <si>
    <t>SHEET 12 (Grants Unappropriated)</t>
  </si>
  <si>
    <t>SHEET 17A (Chapter 159)</t>
  </si>
  <si>
    <t>SHEET 20 (Miscellaneous Revenues Not Anticipated)</t>
  </si>
  <si>
    <t>SHEET 35 (Improvement Authorizations)</t>
  </si>
  <si>
    <t>ended as required by N.J.S.A. 40A:5-12, as amended.</t>
  </si>
  <si>
    <t>with  N.J.A.C. 5:30-7.5.</t>
  </si>
  <si>
    <t>Standard</t>
  </si>
  <si>
    <t>Added by N.J.S.A. 40A:4-87 (List on 17a)</t>
  </si>
  <si>
    <t>Miscellaneous  Revenues  Anticipated: Added By N.J.S.A. 40A:4-87</t>
  </si>
  <si>
    <t>required to comply with Title 2 U.S. Code of Federal Regulations (CFR) OMB 15-08.  (Uniform</t>
  </si>
  <si>
    <t>with the requirement of N.J.S.A. 54:4-35, was in the amount of $</t>
  </si>
  <si>
    <t/>
  </si>
  <si>
    <t>Written Consent of Director of Local Government Services</t>
  </si>
  <si>
    <t>NOTE: Deferred charges for authorizations under  N.J.S.A. 40A:4-55 (Tax Map, etc.), N.J.S.A. 40A:4-55 (Flood Damage, etc.), N.J.S.A.</t>
  </si>
  <si>
    <t>40A:4-55.1 (Roads and Bridges, etc.) and N.J.S.A. 40A:4-55.13 (Public Exigencies, etc.) to the extent of emergency notes issued</t>
  </si>
  <si>
    <t>Resulting from</t>
  </si>
  <si>
    <t>REDUCED IN</t>
  </si>
  <si>
    <t>N.J.S.A. 40A:4-55.13 et seq. and are recorded on this page</t>
  </si>
  <si>
    <t>Memo: Designate all "Capital Notes" issued under N.J.S.A. 40A:2-8(b) with "C".  Such notes must be retired at the rate of 20% of the original amount issued annually.</t>
  </si>
  <si>
    <t>balance of the appropriation is to be permitted to lapse.</t>
  </si>
  <si>
    <t>AND  DOWN  PAYMENTS  (N.J.S.A. 40A:2-11)</t>
  </si>
  <si>
    <t>Added by N.J.S.A.  40A:4-87:(List)</t>
  </si>
  <si>
    <t>Added by N.J.S.A. 40A:4-87</t>
  </si>
  <si>
    <t>(Do not include the emergency authorizations pursuant to N.J.S.A. 40A:4-55, listed on Sheet 29)</t>
  </si>
  <si>
    <t>FUNDED  OR REFUNDED  UNDER  N.J.SA.. 40A:2-3  OR  N.J.S.A. 40A:2-51</t>
  </si>
  <si>
    <t>Sources</t>
  </si>
  <si>
    <t>Additional Funding</t>
  </si>
  <si>
    <t>Loan Type:</t>
  </si>
  <si>
    <t>Designate all "Capital Notes" issued under N.J.S.A. 40A:2-8(b) with "C".  Such notes must be retired at the rate</t>
  </si>
  <si>
    <t>of the appropriation is to be permitted to lapse.</t>
  </si>
  <si>
    <t>Prior Years</t>
  </si>
  <si>
    <t xml:space="preserve">Total                            </t>
  </si>
  <si>
    <t>the appropriation is to be permitted to lapse.</t>
  </si>
  <si>
    <t>Calendar</t>
  </si>
  <si>
    <t>Required Information</t>
  </si>
  <si>
    <t>HOW MANY UTILITIES DOES THE ENTITY HAVE:</t>
  </si>
  <si>
    <t>Select Local Government Entity Type (Muni or County):</t>
  </si>
  <si>
    <t>PLEASE SELECT A MUNICIPALITY/COUNTY</t>
  </si>
  <si>
    <t>MUNICIPALITY/COUNTY</t>
  </si>
  <si>
    <t>SELECT FISCAL YEAR TYPE:</t>
  </si>
  <si>
    <t>Population Last Census (2020)</t>
  </si>
  <si>
    <t>Full Name of Municipality/County</t>
  </si>
  <si>
    <t>PAGE COUNT - SELECT STANDARD OR EXPANDED:</t>
  </si>
  <si>
    <t>Senior Citizens Deductions Per Tax Billings</t>
  </si>
  <si>
    <t xml:space="preserve">Select "0" if you do not have any utilities. </t>
  </si>
  <si>
    <t xml:space="preserve">"Standard" provides four (4) sheets for Trust Fund Trial Balance. </t>
  </si>
  <si>
    <t>"Standard" provides two (2) sheets for Schedule of Trust Reserves.</t>
  </si>
  <si>
    <t>"Standard" provides two (2) sheets for List of Banks.</t>
  </si>
  <si>
    <t xml:space="preserve">"Standard" provides three (3) sheets for Grants Receivable. </t>
  </si>
  <si>
    <t xml:space="preserve">"Standard" provides four (4) sheets Grants Appropriated. </t>
  </si>
  <si>
    <t>"Standard" provides two (2) sheets for Chapter 159s.</t>
  </si>
  <si>
    <t xml:space="preserve">"Standard" provides four (4) sheets for Improvement Authorizations. </t>
  </si>
  <si>
    <t>Unexpended Balances of Appropriations</t>
  </si>
  <si>
    <t>Grand Total</t>
  </si>
  <si>
    <t>AND  DOWN  PAYMENTS  (N.J.S.A. 40A:2-11) (Continued)</t>
  </si>
  <si>
    <t>SHEET 37 (Capital Improvements Authorized)</t>
  </si>
  <si>
    <t xml:space="preserve">In all applicable signature lines insert the email address of the applicable official. </t>
  </si>
  <si>
    <t>Only the Chief Financial Officer has access to the "Submit for Review" tab within the FAST portal.</t>
  </si>
  <si>
    <r>
      <t xml:space="preserve">If copying data from a prior workbook, copy and use </t>
    </r>
    <r>
      <rPr>
        <b/>
        <u/>
        <sz val="13"/>
        <color theme="1"/>
        <rFont val="Cambria"/>
        <family val="1"/>
        <scheme val="major"/>
      </rPr>
      <t>Paste Values</t>
    </r>
    <r>
      <rPr>
        <sz val="13"/>
        <color theme="1"/>
        <rFont val="Cambria"/>
        <family val="1"/>
        <scheme val="major"/>
      </rPr>
      <t xml:space="preserve"> to preserve formatting. </t>
    </r>
  </si>
  <si>
    <t xml:space="preserve">(This must be signed by the Chief Financial Officer, Comptroller, Auditor or Registered </t>
  </si>
  <si>
    <t>Municipal Accountant.)</t>
  </si>
  <si>
    <t>Page Totals:</t>
  </si>
  <si>
    <t>TRIAL  BALANCE  -  TRUST  FUNDS</t>
  </si>
  <si>
    <t>TRIAL  BALANCE  -  TRUST  FUNDS (CONT'D)</t>
  </si>
  <si>
    <t>Estimated Proceeds Bonds and Notes Authorized</t>
  </si>
  <si>
    <t>Trust - Arts and Culture</t>
  </si>
  <si>
    <t>Director of Local Government Services</t>
  </si>
  <si>
    <t>Adjustment between Taxes (Other than Current Year) and Tax Title Liens;</t>
  </si>
  <si>
    <t xml:space="preserve">"Standard" provides twenty (20) lines for listing improvements. </t>
  </si>
  <si>
    <t>Municipal Arts and Culture Tax</t>
  </si>
  <si>
    <r>
      <rPr>
        <b/>
        <u/>
        <sz val="11"/>
        <color rgb="FFFF0000"/>
        <rFont val="Arial"/>
        <family val="2"/>
      </rPr>
      <t>Counties Only:</t>
    </r>
    <r>
      <rPr>
        <sz val="11"/>
        <color rgb="FFFF0000"/>
        <rFont val="Arial"/>
        <family val="2"/>
      </rPr>
      <t xml:space="preserve"> Prior to entering data on this</t>
    </r>
  </si>
  <si>
    <t>page, enter "X" in this box:</t>
  </si>
  <si>
    <r>
      <t xml:space="preserve">Select the Municipality or County by clicking on the arrow on the right side of cell D8. This will populate the municipality/county and dates throughout the workbook.  Continue to complete each of the fields in order to populate throughout the workbook. </t>
    </r>
    <r>
      <rPr>
        <b/>
        <sz val="13"/>
        <rFont val="Cambria"/>
        <family val="1"/>
        <scheme val="major"/>
      </rPr>
      <t xml:space="preserve">Enter the exact number of utilities and the utility types. </t>
    </r>
    <r>
      <rPr>
        <sz val="13"/>
        <rFont val="Cambria"/>
        <family val="1"/>
        <scheme val="major"/>
      </rPr>
      <t xml:space="preserve"> Do not skip sets of utility pages. </t>
    </r>
  </si>
  <si>
    <r>
      <t xml:space="preserve">On the Key Inputs tab, users can select "Standard" or "Expanded" for a variety of sections to reduce the number of unused pages throughout the document. The following sheets can be adjusted: 6, 6b, 9a, 10, 11, 12, 17a, 20, 35, and 37.  </t>
    </r>
    <r>
      <rPr>
        <b/>
        <sz val="13"/>
        <rFont val="Cambria"/>
        <family val="1"/>
        <scheme val="major"/>
      </rPr>
      <t xml:space="preserve">All sections are preset to "Standard" and should only be switched to "Expanded" if more pages are needed. </t>
    </r>
  </si>
  <si>
    <t>, am the Chief Financial</t>
  </si>
  <si>
    <t>N.J.S.A. 40A:4-46 (After adoption of Budget)</t>
  </si>
  <si>
    <t>N.J.S.A. 40A:4-20 (Prior to adoption of Budget)</t>
  </si>
  <si>
    <t>Amount of Levy - Special District Taxes</t>
  </si>
  <si>
    <t>Reductions Due to Tax Appeals**</t>
  </si>
  <si>
    <r>
      <rPr>
        <b/>
        <i/>
        <u/>
        <sz val="10"/>
        <rFont val="Arial"/>
        <family val="2"/>
      </rPr>
      <t>Note</t>
    </r>
    <r>
      <rPr>
        <b/>
        <i/>
        <sz val="10"/>
        <rFont val="Arial"/>
        <family val="2"/>
      </rPr>
      <t>: If municipality conducted Accelerated Tax Sale or Tax Levy Sale check here ____ and complete sheet 22a.</t>
    </r>
  </si>
  <si>
    <r>
      <t>LESS</t>
    </r>
    <r>
      <rPr>
        <sz val="11"/>
        <rFont val="Arial"/>
        <family val="2"/>
      </rPr>
      <t>: Proceeds from Tax Levy Sale (excluding premium)</t>
    </r>
  </si>
  <si>
    <t>Chapter 99, P.L. 1997.</t>
  </si>
  <si>
    <t>*Includes State Tax Court and County Board of Taxation</t>
  </si>
  <si>
    <t>Signature of Tax Collector</t>
  </si>
  <si>
    <t>(Do not include the emergency authorizations pursuant to N.J.S.A. 40A:4-55,</t>
  </si>
  <si>
    <t>N.J.S.A. 40A:4-55.1 or N.J.S.A. 40A:4-55.13 listed on Sheets 29 and 30.)</t>
  </si>
  <si>
    <t>FUNDED  OR REFUNDED  UNDER  N.J.S.A.  40A:2-3  OR  N.J.S.A.  40A:2-51</t>
  </si>
  <si>
    <t>For Interest**</t>
  </si>
  <si>
    <t>*"Original Date of Issue" refers to the date when the first money was borrowed for a particular improvement, not the renewal date of subsequent notes which were issued.</t>
  </si>
  <si>
    <t>MEMO: *See Sheet 33 for clarification of "Original Date of Issue"</t>
  </si>
  <si>
    <t>**Interest on Assessment Notes must be included in the Current Fund Budget appropriation "Interest on Notes".</t>
  </si>
  <si>
    <t>"Standard" provides one (1) sheet, "20 Total-Misc Rev Not Ant".</t>
  </si>
  <si>
    <t>"Standard" provides one (1) sheet, "12 Total-Grants Unappropriated".</t>
  </si>
  <si>
    <t>Sheet  37.1</t>
  </si>
  <si>
    <t>Start with "Standard" and move to "Expanded" only as needed:</t>
  </si>
  <si>
    <r>
      <t>The completed AFS must be submitted to the Division via the FAST portal with a file name of</t>
    </r>
    <r>
      <rPr>
        <sz val="13"/>
        <rFont val="Cambria"/>
        <family val="1"/>
      </rPr>
      <t xml:space="preserve">: xxxx_afs_20xx.xlsm (provide 4 digits municode and year). </t>
    </r>
    <r>
      <rPr>
        <b/>
        <sz val="13"/>
        <rFont val="Cambria"/>
        <family val="1"/>
      </rPr>
      <t xml:space="preserve">It must be saved as a Macro-Enabled Workbook. </t>
    </r>
  </si>
  <si>
    <t>*Counties will be listed after all Municipalities in the dropdown menu in cell D8.</t>
  </si>
  <si>
    <t>Branchburg Township</t>
  </si>
  <si>
    <t>Branchburg Township, Somerset County</t>
  </si>
  <si>
    <t>Branchburg</t>
  </si>
  <si>
    <t>2020 Census Population</t>
  </si>
  <si>
    <t>cause the screen to "shake" or "flash" momentarily.  This is a byproduct of such functionality being run across all pages of the document.**</t>
  </si>
  <si>
    <r>
      <rPr>
        <b/>
        <u/>
        <sz val="10"/>
        <rFont val="Arial"/>
        <family val="2"/>
      </rPr>
      <t xml:space="preserve">**PLEASE NOTE: </t>
    </r>
    <r>
      <rPr>
        <b/>
        <sz val="10"/>
        <rFont val="Arial"/>
        <family val="2"/>
      </rPr>
      <t xml:space="preserve">Many of the features on this page rely on the use of macros.  Because of the nature of this functionality, using the options available on this tab will </t>
    </r>
  </si>
  <si>
    <r>
      <t xml:space="preserve">For sections where "Standard" only displays one (1) sheet, if you originally selected "Expanded" and want to revert to "Standard", data must be entered on the </t>
    </r>
    <r>
      <rPr>
        <b/>
        <i/>
        <u/>
        <sz val="10"/>
        <rFont val="Arial"/>
        <family val="2"/>
      </rPr>
      <t>last</t>
    </r>
    <r>
      <rPr>
        <b/>
        <i/>
        <sz val="10"/>
        <rFont val="Arial"/>
        <family val="2"/>
      </rPr>
      <t xml:space="preserve"> page of the "Expanded" section, not the first page, as the last page contains the total amounts.</t>
    </r>
  </si>
  <si>
    <t xml:space="preserve">a) </t>
  </si>
  <si>
    <t xml:space="preserve">b) </t>
  </si>
  <si>
    <t xml:space="preserve">c) </t>
  </si>
  <si>
    <t xml:space="preserve">d) </t>
  </si>
  <si>
    <t xml:space="preserve">e) </t>
  </si>
  <si>
    <t>PLEASE NOTE:</t>
  </si>
  <si>
    <t>On the 2024 AFS, navigate to the "Key Inputs" tab.</t>
  </si>
  <si>
    <t>**Instructions to Complete the 2023 to 2024 "Data Rollover" Process**</t>
  </si>
  <si>
    <t xml:space="preserve">Download from FAST or have saved on your computer your final 2023 annual financial statement. </t>
  </si>
  <si>
    <t>On "Key Inputs", there will be one "data migration" button</t>
  </si>
  <si>
    <t>Once complete, review the 2024 AFS template to ensure information has successfully copied from the 2023 AFS.</t>
  </si>
  <si>
    <t>While every effort was made to ensure the integrity of data for those sections included in the data migration, it is the responsibility of the municipality to ensure accuracy.</t>
  </si>
  <si>
    <t>Prior year sections will reflect amounts from the 2023 AFS.  Therefore, amounts may need to be manually adjusted after the data migration is complete in order to reflect any adjustments.</t>
  </si>
  <si>
    <t xml:space="preserve">If an incorrect version of the AFS template was used in 2023, the budget data may not migrate properly to the 2024 AFS template. </t>
  </si>
  <si>
    <t>**If this is a County Annual Financial Statement, you must select "County" on Key Inputs cell F7.**</t>
  </si>
  <si>
    <r>
      <t>**</t>
    </r>
    <r>
      <rPr>
        <b/>
        <u/>
        <sz val="11"/>
        <color theme="1"/>
        <rFont val="Calibri"/>
        <family val="2"/>
        <scheme val="minor"/>
      </rPr>
      <t>IMPORTANT</t>
    </r>
    <r>
      <rPr>
        <sz val="11"/>
        <color theme="1"/>
        <rFont val="Calibri"/>
        <family val="2"/>
        <scheme val="minor"/>
      </rPr>
      <t>: Macros must be enabled in excel in order for the data rollover process to run successfully.**</t>
    </r>
  </si>
  <si>
    <t xml:space="preserve">Click the data migration button; it will prompt you to select your 2023 excel AFS from your computer. </t>
  </si>
  <si>
    <r>
      <t xml:space="preserve">Once the 2023 AFS is selected, the function runs automatically. </t>
    </r>
    <r>
      <rPr>
        <b/>
        <u/>
        <sz val="11"/>
        <color theme="1"/>
        <rFont val="Calibri"/>
        <family val="2"/>
        <scheme val="minor"/>
      </rPr>
      <t>Warning</t>
    </r>
    <r>
      <rPr>
        <sz val="11"/>
        <color theme="1"/>
        <rFont val="Calibri"/>
        <family val="2"/>
        <scheme val="minor"/>
      </rPr>
      <t xml:space="preserve">: The functionality may cause the screen to briefly flash rapidly. </t>
    </r>
  </si>
  <si>
    <t>Municipal and County AFS Version 2024.0</t>
  </si>
  <si>
    <t>Water</t>
  </si>
  <si>
    <t>Sewer</t>
  </si>
  <si>
    <t>Accounts Payable</t>
  </si>
  <si>
    <t>Interfund Water Capital</t>
  </si>
  <si>
    <t>Interfund Sewer Operating</t>
  </si>
  <si>
    <t>Interfund Current Fund</t>
  </si>
  <si>
    <t>Water Overpayments</t>
  </si>
  <si>
    <t>Interfund General Capital</t>
  </si>
  <si>
    <t>Interfund Federal &amp; State Grant Fund</t>
  </si>
  <si>
    <t>Reserve for Capital Outlay</t>
  </si>
  <si>
    <t>Water Rents</t>
  </si>
  <si>
    <t>USDA</t>
  </si>
  <si>
    <t>903-19 Gen. Imp to Water System</t>
  </si>
  <si>
    <t>903-19 Water Utility Improvements</t>
  </si>
  <si>
    <t>906-19 Imp. To the Water System</t>
  </si>
  <si>
    <t>918-20 Imp. To the Water System</t>
  </si>
  <si>
    <t>956-23 Water Main Improvements</t>
  </si>
  <si>
    <t>Interfund - Payroll</t>
  </si>
  <si>
    <t>Interfund - Current Fund</t>
  </si>
  <si>
    <t>Interfund - Sewer Capital</t>
  </si>
  <si>
    <t>Sewer Overpayments</t>
  </si>
  <si>
    <t>Interfund - Sewer Op</t>
  </si>
  <si>
    <t>Sewer Rents</t>
  </si>
  <si>
    <t>Holland Township Share of Operation</t>
  </si>
  <si>
    <t>Holland Township Share of USDA Debt</t>
  </si>
  <si>
    <t>Interest on Investments</t>
  </si>
  <si>
    <t>Interfund - Water Operating</t>
  </si>
  <si>
    <t>717-06 Imp. To the Sewer Utility System</t>
  </si>
  <si>
    <t>742-08 Upgrades to the Wastewater Disposal</t>
  </si>
  <si>
    <t>System Treatment Plant</t>
  </si>
  <si>
    <t>764-10 Purchase of Dump Truck</t>
  </si>
  <si>
    <t>YES</t>
  </si>
  <si>
    <t>NO</t>
  </si>
  <si>
    <t>822-14 Improvements to Mt Nebo Rd II</t>
  </si>
  <si>
    <t>840-15 Improvements to Public Library Roof</t>
  </si>
  <si>
    <t>841-15 Improvements to Mt Nebo Rd I</t>
  </si>
  <si>
    <t>902-19 Improvements to Green St</t>
  </si>
  <si>
    <t>796-12 Stone's Dam Stream Stabiliation</t>
  </si>
  <si>
    <t>860-16 Purchase of Fire Equipment</t>
  </si>
  <si>
    <t>884-18 Master Plan Update</t>
  </si>
  <si>
    <t>887-18 Improvements to Railroad Ave</t>
  </si>
  <si>
    <t>907-19 Street Improvements</t>
  </si>
  <si>
    <t>922-20 Purchase of Backhoe</t>
  </si>
  <si>
    <t>927-21 Purchase of Ambulance</t>
  </si>
  <si>
    <t>935-22 Engineering - York Rd Improvements</t>
  </si>
  <si>
    <t>936-22 York Rd Improvements</t>
  </si>
  <si>
    <t>940-22 Architect/Engineering - Borough Hall/Library</t>
  </si>
  <si>
    <t>942-22 Jet-Vacuuming Storm Drain System</t>
  </si>
  <si>
    <t>943-22 Improvements to Phyllis Ln and Williams St</t>
  </si>
  <si>
    <t>945-22 Replacement of Electrical Panels</t>
  </si>
  <si>
    <t>946-22 Removal of Trees</t>
  </si>
  <si>
    <t xml:space="preserve">950-22 Various Remedial Repairs </t>
  </si>
  <si>
    <t>952-23 Borough Code Supplement</t>
  </si>
  <si>
    <t>974-24 Emergency Temporary Repairs - Bridge Street</t>
  </si>
  <si>
    <t>976-24 Removal of Bats - Borough Hall</t>
  </si>
  <si>
    <t>977-24 Borough Hall Roof</t>
  </si>
  <si>
    <t>981-24 Renovations to the Borough Library</t>
  </si>
  <si>
    <t>982-24 Emergency Temporary Repairs - Bridge Street</t>
  </si>
  <si>
    <t>957-23 Update Tax Maps</t>
  </si>
  <si>
    <t>Taxes in Lieu</t>
  </si>
  <si>
    <t>Cable TV</t>
  </si>
  <si>
    <t>Copies</t>
  </si>
  <si>
    <t>Food Licenses</t>
  </si>
  <si>
    <t>Marriage Licenses</t>
  </si>
  <si>
    <t>Planning Fees</t>
  </si>
  <si>
    <t>Fire Fees</t>
  </si>
  <si>
    <t>Senior &amp; Vet Admin Fee</t>
  </si>
  <si>
    <t>Misc</t>
  </si>
  <si>
    <t>Interfund - Animal Control</t>
  </si>
  <si>
    <t>Interfund - Sewer Operating</t>
  </si>
  <si>
    <t>Interfund - General Capital</t>
  </si>
  <si>
    <t>Interfund - Federal &amp; State Grants</t>
  </si>
  <si>
    <t>Interfund - Other Trust</t>
  </si>
  <si>
    <t>Interfund Current</t>
  </si>
  <si>
    <t>Interfund Current (Other Trust)</t>
  </si>
  <si>
    <t>Reserve for Premiums</t>
  </si>
  <si>
    <t>Reserve for Payroll</t>
  </si>
  <si>
    <t>Reserve for Escrow</t>
  </si>
  <si>
    <t>Reserve for COAH</t>
  </si>
  <si>
    <t>Reserve for Outside Liens</t>
  </si>
  <si>
    <t>Reserve for POAA</t>
  </si>
  <si>
    <t>Reserve for Public Defender</t>
  </si>
  <si>
    <t>Premium</t>
  </si>
  <si>
    <t>Payroll</t>
  </si>
  <si>
    <t>Escrow</t>
  </si>
  <si>
    <t>COAH</t>
  </si>
  <si>
    <t>Outside Liens</t>
  </si>
  <si>
    <t>POAA</t>
  </si>
  <si>
    <t>Public Defender</t>
  </si>
  <si>
    <t>Interfund - Water Capital</t>
  </si>
  <si>
    <t>Interfund - Federal &amp; State Grant Fund</t>
  </si>
  <si>
    <t>Reserve for Fire Equipment</t>
  </si>
  <si>
    <t>Reserve for Ambulance</t>
  </si>
  <si>
    <t>Reserve for Green St</t>
  </si>
  <si>
    <t>Recycling Tonnage</t>
  </si>
  <si>
    <t>Clean Communities</t>
  </si>
  <si>
    <t>NJ Stormwater Grant</t>
  </si>
  <si>
    <t>American Recovery Plan Act</t>
  </si>
  <si>
    <t>FEMA</t>
  </si>
  <si>
    <t>Stormwater Grant</t>
  </si>
  <si>
    <t>Stormwater</t>
  </si>
  <si>
    <t>Recycling Tonnage Grant</t>
  </si>
  <si>
    <t>Interfund</t>
  </si>
  <si>
    <t>Water Operating</t>
  </si>
  <si>
    <t>Water Capital</t>
  </si>
  <si>
    <t>Sewer Operating</t>
  </si>
  <si>
    <t>Sewer Capital</t>
  </si>
  <si>
    <t>PNC 81-3182-8015 - Savings Account</t>
  </si>
  <si>
    <t>PNC 81-3182-7717 - Current Fund</t>
  </si>
  <si>
    <t>PNC 81-3182-8074 - Dog Fund</t>
  </si>
  <si>
    <t>PNC 81-4010-6081 - Escrow</t>
  </si>
  <si>
    <t>PNC 81-3256-8801 - COAH</t>
  </si>
  <si>
    <t>PNC 81-3182-8023 - Payroll</t>
  </si>
  <si>
    <t>PNC 80-3363-5535 - Tax Sale Premium</t>
  </si>
  <si>
    <t>PNC 81-3182-8082 - General Capital</t>
  </si>
  <si>
    <t>PNC 81-3182-8007 - Water Op</t>
  </si>
  <si>
    <t>PNC 81-3182-8058 - Water Cap</t>
  </si>
  <si>
    <t>PNC 81-3182-7725 - Sewer Op</t>
  </si>
  <si>
    <t>PNC 81-3182-8031 - Sewer Cap</t>
  </si>
  <si>
    <t>sdw@w-cpa.com</t>
  </si>
  <si>
    <t>X</t>
  </si>
  <si>
    <t>3/13/2025</t>
  </si>
  <si>
    <t>William Hance</t>
  </si>
  <si>
    <t>N</t>
  </si>
  <si>
    <t>Wielkotz &amp; Company LLC</t>
  </si>
  <si>
    <t>401 Wanaque Ave</t>
  </si>
  <si>
    <t>Pompton Lakes, NJ 07442</t>
  </si>
  <si>
    <t>973-835-7900</t>
  </si>
  <si>
    <t>March</t>
  </si>
  <si>
    <t>CMFO</t>
  </si>
  <si>
    <t>22-6002081</t>
  </si>
  <si>
    <t>P.O. Box 507</t>
  </si>
  <si>
    <t>Milford, NJ 08848</t>
  </si>
  <si>
    <t>908-995-4323</t>
  </si>
  <si>
    <t>908-995-2343</t>
  </si>
  <si>
    <t>Steven Wielkotz</t>
  </si>
  <si>
    <t>Reserve for Debt Service - Phyllis</t>
  </si>
  <si>
    <t>N 0431</t>
  </si>
  <si>
    <t>cfo@milfordnj.gov</t>
  </si>
  <si>
    <t>CFO@milfordnj.gov</t>
  </si>
  <si>
    <t>taxassessor@milfordnj.gov</t>
  </si>
  <si>
    <t>taxcollector@milfordnj.gov</t>
  </si>
  <si>
    <t>T-0117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</si>
</sst>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4" formatCode="_(&quot;$&quot;* #,##0.00_);_(&quot;$&quot;* \(#,##0.00\);_(&quot;$&quot;* &quot;-&quot;??_);_(@_)"/>
    <numFmt numFmtId="43" formatCode="_(* #,##0.00_);_(* \(#,##0.00\);_(* &quot;-&quot;??_);_(@_)"/>
    <numFmt numFmtId="164" formatCode="mmmm\ d\,\ yyyy"/>
    <numFmt numFmtId="165" formatCode="_(* #,##0_);_(* \(#,##0\);_(* &quot;-&quot;??_);_(@_)"/>
    <numFmt numFmtId="166" formatCode="mm/dd/yy;@"/>
    <numFmt numFmtId="167" formatCode="_(* #,##0.000_);_(* \(#,##0.000\);_(* &quot;-&quot;???_);_(@_)"/>
    <numFmt numFmtId="168" formatCode="_(* #,##0.0000_);_(* \(#,##0.0000\);_(* &quot;-&quot;????_);_(@_)"/>
    <numFmt numFmtId="169" formatCode="0.000%"/>
    <numFmt numFmtId="170" formatCode="0.0000%"/>
  </numFmts>
  <fonts count="8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8"/>
      <name val="Arial"/>
      <family val="2"/>
    </font>
    <font>
      <b/>
      <sz val="18"/>
      <name val="Times New Roman"/>
      <family val="1"/>
    </font>
    <font>
      <b/>
      <sz val="12"/>
      <name val="Times New Roman"/>
      <family val="1"/>
    </font>
    <font>
      <sz val="10"/>
      <name val="Times New Roman"/>
      <family val="1"/>
    </font>
    <font>
      <i/>
      <sz val="9"/>
      <name val="Arial"/>
      <family val="2"/>
    </font>
    <font>
      <u/>
      <sz val="10"/>
      <name val="Times New Roman"/>
      <family val="1"/>
    </font>
    <font>
      <sz val="8"/>
      <name val="Arial"/>
      <family val="2"/>
    </font>
    <font>
      <b/>
      <sz val="14"/>
      <name val="Times New Roman"/>
      <family val="1"/>
    </font>
    <font>
      <b/>
      <sz val="16"/>
      <name val="Times New Roman"/>
      <family val="1"/>
    </font>
    <font>
      <sz val="11"/>
      <name val="Arial"/>
      <family val="2"/>
    </font>
    <font>
      <sz val="11"/>
      <name val="Times New Roman"/>
      <family val="1"/>
    </font>
    <font>
      <b/>
      <sz val="9"/>
      <name val="Arial"/>
      <family val="2"/>
    </font>
    <font>
      <sz val="9"/>
      <name val="Arial"/>
      <family val="2"/>
    </font>
    <font>
      <b/>
      <sz val="10"/>
      <name val="Arial"/>
      <family val="2"/>
    </font>
    <font>
      <b/>
      <sz val="11"/>
      <name val="Times New Roman"/>
      <family val="1"/>
    </font>
    <font>
      <b/>
      <u/>
      <sz val="11"/>
      <name val="Times New Roman"/>
      <family val="1"/>
    </font>
    <font>
      <sz val="10"/>
      <name val="Arial"/>
      <family val="2"/>
    </font>
    <font>
      <u/>
      <sz val="8"/>
      <name val="Arial"/>
      <family val="2"/>
    </font>
    <font>
      <u/>
      <sz val="10"/>
      <name val="Arial"/>
      <family val="2"/>
    </font>
    <font>
      <b/>
      <sz val="11"/>
      <name val="Arial"/>
      <family val="2"/>
    </font>
    <font>
      <b/>
      <sz val="12"/>
      <name val="Arial"/>
      <family val="2"/>
    </font>
    <font>
      <b/>
      <i/>
      <sz val="10"/>
      <name val="Arial"/>
      <family val="2"/>
    </font>
    <font>
      <i/>
      <sz val="11"/>
      <name val="Arial"/>
      <family val="2"/>
    </font>
    <font>
      <b/>
      <sz val="14"/>
      <name val="Arial"/>
      <family val="2"/>
    </font>
    <font>
      <b/>
      <u/>
      <sz val="10"/>
      <name val="Arial"/>
      <family val="2"/>
    </font>
    <font>
      <sz val="14"/>
      <name val="Times New Roman"/>
      <family val="1"/>
    </font>
    <font>
      <i/>
      <u/>
      <sz val="10"/>
      <name val="Arial"/>
      <family val="2"/>
    </font>
    <font>
      <b/>
      <sz val="10"/>
      <name val="Times New Roman"/>
      <family val="1"/>
    </font>
    <font>
      <sz val="12"/>
      <name val="Arial"/>
      <family val="2"/>
    </font>
    <font>
      <b/>
      <u/>
      <sz val="11"/>
      <name val="Arial"/>
      <family val="2"/>
    </font>
    <font>
      <b/>
      <u/>
      <sz val="26"/>
      <name val="Times New Roman"/>
      <family val="1"/>
    </font>
    <font>
      <b/>
      <i/>
      <sz val="9"/>
      <name val="Arial"/>
      <family val="2"/>
    </font>
    <font>
      <b/>
      <i/>
      <sz val="11"/>
      <name val="Arial"/>
      <family val="2"/>
    </font>
    <font>
      <b/>
      <sz val="20"/>
      <name val="Times New Roman"/>
      <family val="1"/>
    </font>
    <font>
      <b/>
      <sz val="8"/>
      <name val="Arial"/>
      <family val="2"/>
    </font>
    <font>
      <u/>
      <sz val="9"/>
      <name val="Arial"/>
      <family val="2"/>
    </font>
    <font>
      <sz val="8.5"/>
      <name val="Arial"/>
      <family val="2"/>
    </font>
    <font>
      <sz val="8"/>
      <name val="Arial"/>
      <family val="2"/>
    </font>
    <font>
      <b/>
      <sz val="10"/>
      <name val="Arial"/>
      <family val="2"/>
    </font>
    <font>
      <sz val="9"/>
      <name val="Arial"/>
      <family val="2"/>
    </font>
    <font>
      <sz val="10"/>
      <name val="Arial"/>
      <family val="2"/>
    </font>
    <font>
      <sz val="12"/>
      <name val="Times New Roman"/>
      <family val="1"/>
    </font>
    <font>
      <sz val="10"/>
      <name val="Arial"/>
      <family val="2"/>
    </font>
    <font>
      <u/>
      <sz val="10.45"/>
      <color indexed="12"/>
      <name val="Times New Roman"/>
      <family val="1"/>
    </font>
    <font>
      <sz val="11"/>
      <name val="Arial MT"/>
    </font>
    <font>
      <sz val="10"/>
      <name val="Arial"/>
      <family val="2"/>
    </font>
    <font>
      <u/>
      <sz val="10"/>
      <color indexed="12"/>
      <name val="Arial"/>
      <family val="2"/>
    </font>
    <font>
      <sz val="12"/>
      <name val="Times New Roman"/>
      <family val="1"/>
    </font>
    <font>
      <sz val="10"/>
      <color theme="1"/>
      <name val="Arial"/>
      <family val="2"/>
    </font>
    <font>
      <u/>
      <sz val="10"/>
      <color theme="10"/>
      <name val="Arial"/>
      <family val="2"/>
    </font>
    <font>
      <u/>
      <sz val="9.5500000000000007"/>
      <color indexed="12"/>
      <name val="Arial"/>
      <family val="2"/>
    </font>
    <font>
      <sz val="10"/>
      <color rgb="FF0000FF"/>
      <name val="Arial"/>
      <family val="2"/>
    </font>
    <font>
      <sz val="10"/>
      <color rgb="FF0070C0"/>
      <name val="Arial"/>
      <family val="2"/>
    </font>
    <font>
      <sz val="11"/>
      <color rgb="FF0070C0"/>
      <name val="Arial Narrow"/>
      <family val="2"/>
    </font>
    <font>
      <b/>
      <sz val="13.5"/>
      <name val="Times New Roman"/>
      <family val="1"/>
    </font>
    <font>
      <sz val="16"/>
      <name val="Times New Roman"/>
      <family val="1"/>
    </font>
    <font>
      <sz val="10"/>
      <color theme="3" tint="0.39997558519241921"/>
      <name val="Arial"/>
      <family val="2"/>
    </font>
    <font>
      <sz val="10"/>
      <color rgb="FF00B0F0"/>
      <name val="Arial"/>
      <family val="2"/>
    </font>
    <font>
      <b/>
      <sz val="10"/>
      <color rgb="FFFF0000"/>
      <name val="Arial"/>
      <family val="2"/>
    </font>
    <font>
      <b/>
      <i/>
      <sz val="10"/>
      <color rgb="FFFF0000"/>
      <name val="Arial"/>
      <family val="2"/>
    </font>
    <font>
      <sz val="10"/>
      <color rgb="FF7030A0"/>
      <name val="Arial"/>
      <family val="2"/>
    </font>
    <font>
      <sz val="16"/>
      <color theme="1"/>
      <name val="Calibri"/>
      <family val="2"/>
      <scheme val="minor"/>
    </font>
    <font>
      <b/>
      <sz val="16"/>
      <name val="Calibri"/>
      <family val="2"/>
      <scheme val="minor"/>
    </font>
    <font>
      <sz val="13"/>
      <name val="Cambria"/>
      <family val="1"/>
      <scheme val="major"/>
    </font>
    <font>
      <sz val="13"/>
      <name val="Cambria"/>
      <family val="1"/>
    </font>
    <font>
      <b/>
      <sz val="13"/>
      <name val="Cambria"/>
      <family val="1"/>
    </font>
    <font>
      <sz val="11"/>
      <color rgb="FFFF0000"/>
      <name val="Calibri"/>
      <family val="2"/>
    </font>
    <font>
      <sz val="10"/>
      <color theme="0"/>
      <name val="Arial"/>
      <family val="2"/>
    </font>
    <font>
      <sz val="16"/>
      <color theme="0"/>
      <name val="Calibri"/>
      <family val="2"/>
      <scheme val="minor"/>
    </font>
    <font>
      <sz val="13"/>
      <color theme="1"/>
      <name val="Cambria"/>
      <family val="1"/>
      <scheme val="major"/>
    </font>
    <font>
      <u/>
      <sz val="10"/>
      <color theme="10"/>
      <name val="Cambria"/>
      <family val="1"/>
      <scheme val="major"/>
    </font>
    <font>
      <i/>
      <sz val="10"/>
      <name val="Arial"/>
      <family val="2"/>
    </font>
    <font>
      <b/>
      <u/>
      <sz val="9"/>
      <name val="Arial"/>
      <family val="2"/>
    </font>
    <font>
      <b/>
      <u/>
      <sz val="13"/>
      <color theme="1"/>
      <name val="Cambria"/>
      <family val="1"/>
      <scheme val="major"/>
    </font>
    <font>
      <sz val="10"/>
      <color rgb="FFFF0000"/>
      <name val="Arial"/>
      <family val="2"/>
    </font>
    <font>
      <sz val="11"/>
      <color rgb="FFFF0000"/>
      <name val="Arial"/>
      <family val="2"/>
    </font>
    <font>
      <b/>
      <u/>
      <sz val="11"/>
      <color rgb="FFFF0000"/>
      <name val="Arial"/>
      <family val="2"/>
    </font>
    <font>
      <b/>
      <sz val="13"/>
      <name val="Cambria"/>
      <family val="1"/>
      <scheme val="major"/>
    </font>
    <font>
      <b/>
      <i/>
      <u/>
      <sz val="10"/>
      <name val="Arial"/>
      <family val="2"/>
    </font>
    <font>
      <sz val="10"/>
      <color rgb="FF000000"/>
      <name val="Arial"/>
      <family val="2"/>
    </font>
    <font>
      <b/>
      <sz val="16"/>
      <color theme="1"/>
      <name val="Calibri"/>
      <family val="2"/>
      <scheme val="minor"/>
    </font>
    <font>
      <b/>
      <u/>
      <sz val="11"/>
      <color theme="1"/>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00"/>
        <bgColor indexed="64"/>
      </patternFill>
    </fill>
  </fills>
  <borders count="132">
    <border>
      <left/>
      <right/>
      <top/>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thin">
        <color indexed="64"/>
      </bottom>
      <diagonal/>
    </border>
    <border>
      <left style="double">
        <color indexed="64"/>
      </left>
      <right style="double">
        <color indexed="64"/>
      </right>
      <top style="double">
        <color indexed="64"/>
      </top>
      <bottom/>
      <diagonal/>
    </border>
    <border>
      <left/>
      <right/>
      <top style="thin">
        <color indexed="64"/>
      </top>
      <bottom/>
      <diagonal/>
    </border>
    <border>
      <left style="double">
        <color indexed="64"/>
      </left>
      <right style="double">
        <color indexed="64"/>
      </right>
      <top style="thin">
        <color indexed="64"/>
      </top>
      <bottom/>
      <diagonal/>
    </border>
    <border>
      <left style="double">
        <color indexed="64"/>
      </left>
      <right style="double">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style="double">
        <color indexed="64"/>
      </left>
      <right/>
      <top/>
      <bottom/>
      <diagonal/>
    </border>
    <border>
      <left style="double">
        <color indexed="64"/>
      </left>
      <right style="thin">
        <color indexed="64"/>
      </right>
      <top/>
      <bottom/>
      <diagonal/>
    </border>
    <border>
      <left style="double">
        <color indexed="64"/>
      </left>
      <right style="thin">
        <color indexed="64"/>
      </right>
      <top style="thin">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style="double">
        <color indexed="64"/>
      </left>
      <right style="double">
        <color indexed="64"/>
      </right>
      <top style="thin">
        <color indexed="64"/>
      </top>
      <bottom style="double">
        <color indexed="64"/>
      </bottom>
      <diagonal/>
    </border>
    <border>
      <left/>
      <right/>
      <top style="thin">
        <color indexed="64"/>
      </top>
      <bottom style="double">
        <color indexed="64"/>
      </bottom>
      <diagonal/>
    </border>
    <border>
      <left/>
      <right/>
      <top style="thin">
        <color indexed="64"/>
      </top>
      <bottom style="thick">
        <color indexed="64"/>
      </bottom>
      <diagonal/>
    </border>
    <border>
      <left style="double">
        <color indexed="64"/>
      </left>
      <right style="double">
        <color indexed="64"/>
      </right>
      <top style="thin">
        <color indexed="64"/>
      </top>
      <bottom style="thick">
        <color indexed="64"/>
      </bottom>
      <diagonal/>
    </border>
    <border>
      <left/>
      <right/>
      <top/>
      <bottom style="thin">
        <color indexed="64"/>
      </bottom>
      <diagonal/>
    </border>
    <border>
      <left style="double">
        <color indexed="64"/>
      </left>
      <right style="double">
        <color indexed="64"/>
      </right>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indexed="64"/>
      </top>
      <bottom style="medium">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ck">
        <color indexed="64"/>
      </top>
      <bottom style="double">
        <color indexed="64"/>
      </bottom>
      <diagonal/>
    </border>
    <border>
      <left style="double">
        <color indexed="64"/>
      </left>
      <right/>
      <top style="thick">
        <color indexed="64"/>
      </top>
      <bottom style="double">
        <color indexed="64"/>
      </bottom>
      <diagonal/>
    </border>
    <border>
      <left style="double">
        <color indexed="64"/>
      </left>
      <right style="double">
        <color indexed="64"/>
      </right>
      <top style="thin">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thin">
        <color indexed="64"/>
      </top>
      <bottom/>
      <diagonal/>
    </border>
    <border>
      <left/>
      <right/>
      <top/>
      <bottom style="thick">
        <color indexed="64"/>
      </bottom>
      <diagonal/>
    </border>
    <border>
      <left/>
      <right/>
      <top style="thick">
        <color indexed="64"/>
      </top>
      <bottom style="thin">
        <color indexed="64"/>
      </bottom>
      <diagonal/>
    </border>
    <border>
      <left/>
      <right style="double">
        <color indexed="64"/>
      </right>
      <top/>
      <bottom style="thin">
        <color indexed="64"/>
      </bottom>
      <diagonal/>
    </border>
    <border>
      <left style="thick">
        <color indexed="64"/>
      </left>
      <right style="thick">
        <color indexed="64"/>
      </right>
      <top style="thick">
        <color indexed="64"/>
      </top>
      <bottom style="thick">
        <color indexed="64"/>
      </bottom>
      <diagonal/>
    </border>
    <border>
      <left style="double">
        <color indexed="64"/>
      </left>
      <right/>
      <top style="thick">
        <color indexed="64"/>
      </top>
      <bottom style="thick">
        <color indexed="64"/>
      </bottom>
      <diagonal/>
    </border>
    <border>
      <left/>
      <right style="double">
        <color indexed="64"/>
      </right>
      <top style="thick">
        <color indexed="64"/>
      </top>
      <bottom style="thick">
        <color indexed="64"/>
      </bottom>
      <diagonal/>
    </border>
    <border>
      <left/>
      <right/>
      <top style="thick">
        <color indexed="64"/>
      </top>
      <bottom style="thick">
        <color indexed="64"/>
      </bottom>
      <diagonal/>
    </border>
    <border>
      <left style="double">
        <color indexed="64"/>
      </left>
      <right/>
      <top style="double">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style="thick">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double">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double">
        <color indexed="64"/>
      </left>
      <right/>
      <top/>
      <bottom style="thin">
        <color indexed="64"/>
      </bottom>
      <diagonal/>
    </border>
    <border>
      <left/>
      <right style="thin">
        <color indexed="64"/>
      </right>
      <top style="double">
        <color indexed="64"/>
      </top>
      <bottom/>
      <diagonal/>
    </border>
    <border>
      <left/>
      <right style="thin">
        <color indexed="64"/>
      </right>
      <top/>
      <bottom/>
      <diagonal/>
    </border>
    <border>
      <left/>
      <right style="thin">
        <color indexed="64"/>
      </right>
      <top/>
      <bottom style="double">
        <color indexed="64"/>
      </bottom>
      <diagonal/>
    </border>
    <border>
      <left/>
      <right style="thin">
        <color indexed="64"/>
      </right>
      <top style="thin">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double">
        <color indexed="64"/>
      </bottom>
      <diagonal/>
    </border>
    <border>
      <left style="double">
        <color indexed="64"/>
      </left>
      <right/>
      <top/>
      <bottom style="thick">
        <color indexed="64"/>
      </bottom>
      <diagonal/>
    </border>
    <border>
      <left/>
      <right style="double">
        <color indexed="64"/>
      </right>
      <top style="thick">
        <color indexed="64"/>
      </top>
      <bottom style="thin">
        <color indexed="64"/>
      </bottom>
      <diagonal/>
    </border>
    <border>
      <left style="double">
        <color indexed="64"/>
      </left>
      <right/>
      <top style="thick">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style="thin">
        <color indexed="64"/>
      </bottom>
      <diagonal/>
    </border>
    <border>
      <left/>
      <right/>
      <top style="medium">
        <color indexed="64"/>
      </top>
      <bottom style="medium">
        <color indexed="64"/>
      </bottom>
      <diagonal/>
    </border>
    <border>
      <left/>
      <right style="double">
        <color indexed="64"/>
      </right>
      <top style="medium">
        <color indexed="64"/>
      </top>
      <bottom style="thin">
        <color indexed="64"/>
      </bottom>
      <diagonal/>
    </border>
    <border>
      <left/>
      <right/>
      <top style="thick">
        <color indexed="64"/>
      </top>
      <bottom style="double">
        <color indexed="64"/>
      </bottom>
      <diagonal/>
    </border>
    <border>
      <left style="double">
        <color indexed="64"/>
      </left>
      <right/>
      <top style="thin">
        <color indexed="64"/>
      </top>
      <bottom style="thick">
        <color indexed="64"/>
      </bottom>
      <diagonal/>
    </border>
    <border>
      <left style="double">
        <color indexed="64"/>
      </left>
      <right style="double">
        <color indexed="64"/>
      </right>
      <top/>
      <bottom style="thick">
        <color indexed="64"/>
      </bottom>
      <diagonal/>
    </border>
    <border>
      <left style="double">
        <color indexed="64"/>
      </left>
      <right/>
      <top style="thin">
        <color indexed="64"/>
      </top>
      <bottom style="medium">
        <color indexed="64"/>
      </bottom>
      <diagonal/>
    </border>
    <border>
      <left style="double">
        <color indexed="64"/>
      </left>
      <right/>
      <top style="medium">
        <color indexed="64"/>
      </top>
      <bottom style="double">
        <color indexed="64"/>
      </bottom>
      <diagonal/>
    </border>
    <border>
      <left/>
      <right style="double">
        <color indexed="64"/>
      </right>
      <top style="thin">
        <color indexed="64"/>
      </top>
      <bottom style="medium">
        <color indexed="64"/>
      </bottom>
      <diagonal/>
    </border>
    <border>
      <left style="double">
        <color indexed="64"/>
      </left>
      <right style="double">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bottom style="thin">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64"/>
      </right>
      <top style="double">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thin">
        <color indexed="64"/>
      </top>
      <bottom style="double">
        <color indexed="64"/>
      </bottom>
      <diagonal/>
    </border>
    <border>
      <left style="thin">
        <color theme="0" tint="-0.24994659260841701"/>
      </left>
      <right style="thin">
        <color theme="0" tint="-0.24994659260841701"/>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medium">
        <color indexed="64"/>
      </left>
      <right style="medium">
        <color indexed="64"/>
      </right>
      <top/>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34998626667073579"/>
      </left>
      <right style="medium">
        <color indexed="64"/>
      </right>
      <top style="medium">
        <color indexed="64"/>
      </top>
      <bottom style="thin">
        <color theme="0" tint="-0.34998626667073579"/>
      </bottom>
      <diagonal/>
    </border>
    <border>
      <left style="thin">
        <color indexed="64"/>
      </left>
      <right style="medium">
        <color indexed="64"/>
      </right>
      <top style="medium">
        <color indexed="64"/>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s>
  <cellStyleXfs count="87">
    <xf numFmtId="0" fontId="0" fillId="0" borderId="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23" fillId="0" borderId="0" applyFont="0" applyFill="0" applyBorder="0" applyAlignment="0" applyProtection="0"/>
    <xf numFmtId="43" fontId="49" fillId="0" borderId="0" applyFont="0" applyFill="0" applyBorder="0" applyAlignment="0" applyProtection="0"/>
    <xf numFmtId="44" fontId="23" fillId="0" borderId="0" applyFont="0" applyFill="0" applyBorder="0" applyAlignment="0" applyProtection="0"/>
    <xf numFmtId="44" fontId="6" fillId="0" borderId="0" applyFont="0" applyFill="0" applyBorder="0" applyAlignment="0" applyProtection="0"/>
    <xf numFmtId="44" fontId="23" fillId="0" borderId="0" applyFont="0" applyFill="0" applyBorder="0" applyAlignment="0" applyProtection="0"/>
    <xf numFmtId="3" fontId="48" fillId="0" borderId="0"/>
    <xf numFmtId="0" fontId="16" fillId="0" borderId="0"/>
    <xf numFmtId="0" fontId="23" fillId="0" borderId="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16" fillId="0" borderId="0" applyFont="0" applyFill="0" applyBorder="0" applyAlignment="0" applyProtection="0"/>
    <xf numFmtId="9" fontId="23" fillId="0" borderId="0" applyFont="0" applyFill="0" applyBorder="0" applyAlignment="0" applyProtection="0"/>
    <xf numFmtId="9" fontId="49" fillId="0" borderId="0" applyFont="0" applyFill="0" applyBorder="0" applyAlignment="0" applyProtection="0"/>
    <xf numFmtId="0" fontId="6" fillId="0" borderId="0"/>
    <xf numFmtId="43" fontId="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50" fillId="0" borderId="0" applyNumberFormat="0" applyFill="0" applyBorder="0" applyAlignment="0" applyProtection="0">
      <alignment vertical="top"/>
      <protection locked="0"/>
    </xf>
    <xf numFmtId="3" fontId="48" fillId="0" borderId="0"/>
    <xf numFmtId="3" fontId="48" fillId="0" borderId="0"/>
    <xf numFmtId="0" fontId="48" fillId="0" borderId="0"/>
    <xf numFmtId="0" fontId="48" fillId="0" borderId="0"/>
    <xf numFmtId="0" fontId="16" fillId="0" borderId="0"/>
    <xf numFmtId="0" fontId="51" fillId="0" borderId="0"/>
    <xf numFmtId="0" fontId="6" fillId="0" borderId="0"/>
    <xf numFmtId="0" fontId="48" fillId="0" borderId="0"/>
    <xf numFmtId="0" fontId="16" fillId="0" borderId="0"/>
    <xf numFmtId="9" fontId="6"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4" fontId="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4" fontId="52" fillId="0" borderId="0" applyFont="0" applyFill="0" applyBorder="0" applyAlignment="0" applyProtection="0"/>
    <xf numFmtId="44" fontId="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3" fontId="48" fillId="0" borderId="0"/>
    <xf numFmtId="44" fontId="55" fillId="0" borderId="0" applyFont="0" applyFill="0" applyBorder="0" applyAlignment="0" applyProtection="0"/>
    <xf numFmtId="44" fontId="5" fillId="0" borderId="0" applyFont="0" applyFill="0" applyBorder="0" applyAlignment="0" applyProtection="0"/>
    <xf numFmtId="3" fontId="48" fillId="0" borderId="0"/>
    <xf numFmtId="3" fontId="54" fillId="0" borderId="0"/>
    <xf numFmtId="0" fontId="53"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16" fillId="0" borderId="0"/>
    <xf numFmtId="0" fontId="6" fillId="0" borderId="0"/>
    <xf numFmtId="0" fontId="55" fillId="0" borderId="0"/>
    <xf numFmtId="0" fontId="56" fillId="0" borderId="0" applyNumberFormat="0" applyFill="0" applyBorder="0" applyAlignment="0" applyProtection="0"/>
    <xf numFmtId="0" fontId="6" fillId="0" borderId="0"/>
    <xf numFmtId="0" fontId="6" fillId="0" borderId="0"/>
    <xf numFmtId="9" fontId="52"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9" fontId="6" fillId="0" borderId="0" applyFont="0" applyFill="0" applyBorder="0" applyAlignment="0" applyProtection="0"/>
    <xf numFmtId="0" fontId="5" fillId="0" borderId="0"/>
    <xf numFmtId="9" fontId="6" fillId="0" borderId="0" applyFont="0" applyFill="0" applyBorder="0" applyAlignment="0" applyProtection="0"/>
    <xf numFmtId="43" fontId="16" fillId="0" borderId="0" applyFont="0" applyFill="0" applyBorder="0" applyAlignment="0" applyProtection="0"/>
    <xf numFmtId="0" fontId="4" fillId="0" borderId="0"/>
    <xf numFmtId="43" fontId="4" fillId="0" borderId="0" applyFont="0" applyFill="0" applyBorder="0" applyAlignment="0" applyProtection="0"/>
  </cellStyleXfs>
  <cellXfs count="1479">
    <xf numFmtId="0" fontId="0" fillId="0" borderId="0" xfId="0"/>
    <xf numFmtId="0" fontId="0" fillId="0" borderId="0" xfId="0" applyAlignment="1">
      <alignment horizontal="center"/>
    </xf>
    <xf numFmtId="0" fontId="8" fillId="0" borderId="0" xfId="0" applyFont="1" applyAlignment="1">
      <alignment horizont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xf numFmtId="0" fontId="0" fillId="0" borderId="4" xfId="0" applyBorder="1"/>
    <xf numFmtId="0" fontId="0" fillId="0" borderId="5" xfId="0" applyBorder="1"/>
    <xf numFmtId="0" fontId="13" fillId="0" borderId="0" xfId="0" applyFont="1" applyAlignment="1">
      <alignment horizontal="left"/>
    </xf>
    <xf numFmtId="0" fontId="13" fillId="0" borderId="0" xfId="0" applyFont="1" applyAlignment="1">
      <alignment horizontal="center"/>
    </xf>
    <xf numFmtId="0" fontId="0" fillId="0" borderId="8" xfId="0" applyBorder="1"/>
    <xf numFmtId="0" fontId="0" fillId="0" borderId="9" xfId="0" applyBorder="1"/>
    <xf numFmtId="0" fontId="0" fillId="0" borderId="4" xfId="0" applyBorder="1" applyAlignment="1">
      <alignment horizontal="center"/>
    </xf>
    <xf numFmtId="0" fontId="0" fillId="0" borderId="10" xfId="0" applyBorder="1" applyAlignment="1">
      <alignment horizontal="center"/>
    </xf>
    <xf numFmtId="0" fontId="0" fillId="0" borderId="11" xfId="0" applyBorder="1"/>
    <xf numFmtId="0" fontId="0" fillId="0" borderId="10" xfId="0" applyBorder="1"/>
    <xf numFmtId="0" fontId="0" fillId="0" borderId="11" xfId="0"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applyAlignment="1">
      <alignment horizontal="center"/>
    </xf>
    <xf numFmtId="0" fontId="0" fillId="0" borderId="16" xfId="0" applyBorder="1" applyAlignment="1">
      <alignment horizontal="center"/>
    </xf>
    <xf numFmtId="0" fontId="0" fillId="0" borderId="18" xfId="0" applyBorder="1"/>
    <xf numFmtId="0" fontId="0" fillId="0" borderId="19" xfId="0" applyBorder="1"/>
    <xf numFmtId="0" fontId="0" fillId="0" borderId="20" xfId="0" applyBorder="1"/>
    <xf numFmtId="0" fontId="0" fillId="0" borderId="21" xfId="0" applyBorder="1" applyAlignment="1">
      <alignment horizontal="center" vertical="center"/>
    </xf>
    <xf numFmtId="0" fontId="15" fillId="0" borderId="0" xfId="0" applyFont="1" applyAlignment="1">
      <alignment horizontal="center"/>
    </xf>
    <xf numFmtId="0" fontId="0" fillId="0" borderId="23" xfId="0" applyBorder="1"/>
    <xf numFmtId="0" fontId="0" fillId="0" borderId="24" xfId="0" applyBorder="1"/>
    <xf numFmtId="0" fontId="0" fillId="0" borderId="8" xfId="0" applyBorder="1" applyAlignment="1">
      <alignment horizontal="center"/>
    </xf>
    <xf numFmtId="0" fontId="0" fillId="0" borderId="26" xfId="0" applyBorder="1"/>
    <xf numFmtId="0" fontId="19" fillId="0" borderId="3" xfId="0" applyFont="1" applyBorder="1"/>
    <xf numFmtId="0" fontId="19" fillId="0" borderId="5" xfId="0" applyFont="1" applyBorder="1"/>
    <xf numFmtId="0" fontId="19" fillId="0" borderId="26" xfId="0" applyFont="1" applyBorder="1"/>
    <xf numFmtId="0" fontId="13" fillId="0" borderId="0" xfId="0" applyFont="1"/>
    <xf numFmtId="0" fontId="22" fillId="0" borderId="0" xfId="0" applyFont="1"/>
    <xf numFmtId="0" fontId="23" fillId="0" borderId="0" xfId="0" applyFont="1"/>
    <xf numFmtId="0" fontId="25" fillId="0" borderId="0" xfId="0" applyFont="1"/>
    <xf numFmtId="0" fontId="0" fillId="0" borderId="0" xfId="0" applyAlignment="1">
      <alignment horizontal="right"/>
    </xf>
    <xf numFmtId="0" fontId="7" fillId="0" borderId="0" xfId="0" applyFont="1" applyAlignment="1">
      <alignment horizontal="center"/>
    </xf>
    <xf numFmtId="0" fontId="0" fillId="0" borderId="30" xfId="0" applyBorder="1"/>
    <xf numFmtId="0" fontId="0" fillId="0" borderId="31" xfId="0" applyBorder="1"/>
    <xf numFmtId="0" fontId="13" fillId="0" borderId="5" xfId="0" applyFont="1" applyBorder="1"/>
    <xf numFmtId="0" fontId="20" fillId="0" borderId="7" xfId="0" applyFont="1" applyBorder="1" applyAlignment="1">
      <alignment horizontal="center"/>
    </xf>
    <xf numFmtId="0" fontId="20" fillId="0" borderId="3" xfId="0" applyFont="1" applyBorder="1" applyAlignment="1">
      <alignment horizontal="center"/>
    </xf>
    <xf numFmtId="0" fontId="20" fillId="0" borderId="32" xfId="0" applyFont="1" applyBorder="1" applyAlignment="1">
      <alignment horizontal="center"/>
    </xf>
    <xf numFmtId="0" fontId="0" fillId="0" borderId="3" xfId="0" applyBorder="1" applyAlignment="1">
      <alignment horizontal="right"/>
    </xf>
    <xf numFmtId="0" fontId="0" fillId="0" borderId="18" xfId="0" applyBorder="1" applyAlignment="1">
      <alignment horizontal="right"/>
    </xf>
    <xf numFmtId="0" fontId="20" fillId="0" borderId="33" xfId="0" applyFont="1" applyBorder="1" applyAlignment="1">
      <alignment horizontal="center"/>
    </xf>
    <xf numFmtId="0" fontId="0" fillId="0" borderId="5" xfId="0" applyBorder="1" applyAlignment="1">
      <alignment horizontal="right"/>
    </xf>
    <xf numFmtId="0" fontId="0" fillId="0" borderId="26" xfId="0" applyBorder="1" applyAlignment="1">
      <alignment horizontal="right"/>
    </xf>
    <xf numFmtId="0" fontId="0" fillId="0" borderId="9" xfId="0" applyBorder="1" applyAlignment="1">
      <alignment horizontal="center"/>
    </xf>
    <xf numFmtId="49" fontId="0" fillId="0" borderId="8" xfId="0" applyNumberFormat="1" applyBorder="1" applyAlignment="1">
      <alignment horizontal="center"/>
    </xf>
    <xf numFmtId="49" fontId="0" fillId="0" borderId="11" xfId="0" applyNumberFormat="1" applyBorder="1" applyAlignment="1">
      <alignment horizontal="center"/>
    </xf>
    <xf numFmtId="0" fontId="19" fillId="0" borderId="0" xfId="0" applyFont="1" applyAlignment="1">
      <alignment horizontal="center"/>
    </xf>
    <xf numFmtId="0" fontId="19" fillId="0" borderId="18" xfId="0" applyFont="1" applyBorder="1" applyAlignment="1">
      <alignment horizontal="center"/>
    </xf>
    <xf numFmtId="0" fontId="19" fillId="0" borderId="26" xfId="0" applyFont="1" applyBorder="1" applyAlignment="1">
      <alignment horizontal="center"/>
    </xf>
    <xf numFmtId="0" fontId="19" fillId="0" borderId="3" xfId="0" applyFont="1" applyBorder="1" applyAlignment="1">
      <alignment horizontal="center"/>
    </xf>
    <xf numFmtId="0" fontId="0" fillId="0" borderId="1" xfId="0" applyBorder="1"/>
    <xf numFmtId="43" fontId="0" fillId="0" borderId="33" xfId="1" applyFont="1" applyBorder="1"/>
    <xf numFmtId="43" fontId="0" fillId="0" borderId="18" xfId="1" applyFont="1" applyBorder="1"/>
    <xf numFmtId="43" fontId="0" fillId="0" borderId="0" xfId="1" applyFont="1"/>
    <xf numFmtId="43" fontId="0" fillId="0" borderId="27" xfId="1" applyFont="1" applyBorder="1"/>
    <xf numFmtId="43" fontId="0" fillId="0" borderId="26" xfId="1" applyFont="1" applyBorder="1"/>
    <xf numFmtId="43" fontId="0" fillId="0" borderId="7" xfId="1" applyFont="1" applyBorder="1"/>
    <xf numFmtId="43" fontId="0" fillId="0" borderId="3" xfId="1" applyFont="1" applyBorder="1"/>
    <xf numFmtId="43" fontId="0" fillId="0" borderId="25" xfId="1" applyFont="1" applyBorder="1"/>
    <xf numFmtId="43" fontId="0" fillId="0" borderId="34" xfId="1" applyFont="1" applyBorder="1"/>
    <xf numFmtId="43" fontId="0" fillId="0" borderId="35" xfId="1" applyFont="1" applyBorder="1"/>
    <xf numFmtId="43" fontId="0" fillId="0" borderId="5" xfId="1" applyFont="1" applyBorder="1"/>
    <xf numFmtId="0" fontId="0" fillId="0" borderId="15" xfId="0" applyBorder="1"/>
    <xf numFmtId="0" fontId="0" fillId="0" borderId="20" xfId="0" applyBorder="1" applyAlignment="1">
      <alignment horizontal="right"/>
    </xf>
    <xf numFmtId="43" fontId="0" fillId="0" borderId="36" xfId="1" applyFont="1" applyBorder="1"/>
    <xf numFmtId="0" fontId="0" fillId="0" borderId="31" xfId="0" applyBorder="1" applyAlignment="1">
      <alignment horizontal="right"/>
    </xf>
    <xf numFmtId="43" fontId="0" fillId="0" borderId="12" xfId="1" applyFont="1" applyBorder="1"/>
    <xf numFmtId="43" fontId="0" fillId="0" borderId="11" xfId="1" applyFont="1" applyBorder="1"/>
    <xf numFmtId="43" fontId="0" fillId="0" borderId="30" xfId="1" applyFont="1" applyBorder="1"/>
    <xf numFmtId="0" fontId="20" fillId="0" borderId="37" xfId="0" applyFont="1" applyBorder="1" applyAlignment="1">
      <alignment horizontal="center" vertical="center"/>
    </xf>
    <xf numFmtId="0" fontId="20" fillId="0" borderId="3" xfId="0" applyFont="1" applyBorder="1"/>
    <xf numFmtId="0" fontId="0" fillId="0" borderId="38" xfId="0" applyBorder="1"/>
    <xf numFmtId="43" fontId="0" fillId="0" borderId="8" xfId="1" applyFont="1" applyBorder="1"/>
    <xf numFmtId="49" fontId="0" fillId="0" borderId="0" xfId="0" applyNumberFormat="1" applyAlignment="1">
      <alignment horizontal="center"/>
    </xf>
    <xf numFmtId="49" fontId="0" fillId="0" borderId="18" xfId="0" applyNumberFormat="1" applyBorder="1" applyAlignment="1">
      <alignment horizontal="center"/>
    </xf>
    <xf numFmtId="49" fontId="0" fillId="0" borderId="3" xfId="0" applyNumberFormat="1" applyBorder="1" applyAlignment="1">
      <alignment horizontal="center"/>
    </xf>
    <xf numFmtId="49" fontId="0" fillId="0" borderId="26" xfId="0" applyNumberFormat="1" applyBorder="1" applyAlignment="1">
      <alignment horizontal="center"/>
    </xf>
    <xf numFmtId="0" fontId="0" fillId="0" borderId="37" xfId="0" applyBorder="1"/>
    <xf numFmtId="0" fontId="19" fillId="0" borderId="3" xfId="0" applyFont="1" applyBorder="1" applyAlignment="1">
      <alignment wrapText="1"/>
    </xf>
    <xf numFmtId="49" fontId="28" fillId="0" borderId="0" xfId="0" applyNumberFormat="1" applyFont="1" applyAlignment="1">
      <alignment horizontal="left"/>
    </xf>
    <xf numFmtId="0" fontId="26" fillId="0" borderId="0" xfId="0" applyFont="1"/>
    <xf numFmtId="0" fontId="16" fillId="0" borderId="0" xfId="0" applyFont="1"/>
    <xf numFmtId="0" fontId="29" fillId="0" borderId="0" xfId="0" applyFont="1"/>
    <xf numFmtId="0" fontId="0" fillId="0" borderId="39" xfId="0" applyBorder="1"/>
    <xf numFmtId="0" fontId="0" fillId="0" borderId="40" xfId="0" applyBorder="1"/>
    <xf numFmtId="49" fontId="0" fillId="0" borderId="0" xfId="0" applyNumberFormat="1" applyAlignment="1">
      <alignment horizontal="left"/>
    </xf>
    <xf numFmtId="0" fontId="0" fillId="0" borderId="0" xfId="0" applyAlignment="1">
      <alignment horizontal="left"/>
    </xf>
    <xf numFmtId="43" fontId="0" fillId="0" borderId="22" xfId="1" applyFont="1" applyBorder="1"/>
    <xf numFmtId="0" fontId="19" fillId="0" borderId="0" xfId="0" applyFont="1"/>
    <xf numFmtId="0" fontId="0" fillId="0" borderId="41" xfId="0" applyBorder="1" applyAlignment="1">
      <alignment horizontal="right"/>
    </xf>
    <xf numFmtId="0" fontId="0" fillId="0" borderId="41" xfId="0" applyBorder="1"/>
    <xf numFmtId="43" fontId="16" fillId="0" borderId="27" xfId="1" applyFont="1" applyBorder="1"/>
    <xf numFmtId="43" fontId="16" fillId="0" borderId="10" xfId="1" applyFont="1" applyBorder="1"/>
    <xf numFmtId="43" fontId="16" fillId="0" borderId="22" xfId="1" applyFont="1" applyBorder="1"/>
    <xf numFmtId="0" fontId="0" fillId="0" borderId="0" xfId="0" applyAlignment="1">
      <alignment vertical="center"/>
    </xf>
    <xf numFmtId="0" fontId="0" fillId="0" borderId="21" xfId="0" applyBorder="1"/>
    <xf numFmtId="0" fontId="9" fillId="0" borderId="0" xfId="0" applyFont="1" applyAlignment="1">
      <alignment horizontal="center"/>
    </xf>
    <xf numFmtId="43" fontId="0" fillId="0" borderId="41" xfId="1" applyFont="1" applyBorder="1"/>
    <xf numFmtId="43" fontId="0" fillId="0" borderId="20" xfId="1" applyFont="1" applyBorder="1"/>
    <xf numFmtId="43" fontId="0" fillId="0" borderId="43" xfId="1" applyFont="1" applyBorder="1"/>
    <xf numFmtId="43" fontId="0" fillId="0" borderId="44" xfId="1" applyFont="1" applyBorder="1"/>
    <xf numFmtId="43" fontId="0" fillId="0" borderId="45" xfId="1" applyFont="1" applyBorder="1"/>
    <xf numFmtId="43" fontId="0" fillId="0" borderId="31" xfId="1" applyFont="1" applyBorder="1"/>
    <xf numFmtId="43" fontId="0" fillId="0" borderId="23" xfId="1" applyFont="1" applyBorder="1"/>
    <xf numFmtId="0" fontId="20" fillId="0" borderId="0" xfId="0" applyFont="1"/>
    <xf numFmtId="0" fontId="14" fillId="0" borderId="0" xfId="0" applyFont="1"/>
    <xf numFmtId="43" fontId="6" fillId="0" borderId="7" xfId="1" applyBorder="1"/>
    <xf numFmtId="0" fontId="0" fillId="0" borderId="19" xfId="0" applyBorder="1" applyAlignment="1">
      <alignment horizontal="right"/>
    </xf>
    <xf numFmtId="43" fontId="6" fillId="0" borderId="0" xfId="1" applyBorder="1"/>
    <xf numFmtId="43" fontId="6" fillId="0" borderId="8" xfId="1" applyBorder="1"/>
    <xf numFmtId="43" fontId="6" fillId="0" borderId="34" xfId="1" applyBorder="1"/>
    <xf numFmtId="43" fontId="0" fillId="0" borderId="0" xfId="1" applyFont="1" applyBorder="1"/>
    <xf numFmtId="43" fontId="20" fillId="0" borderId="18" xfId="1" applyFont="1" applyBorder="1" applyAlignment="1">
      <alignment horizontal="center"/>
    </xf>
    <xf numFmtId="43" fontId="20" fillId="0" borderId="3" xfId="1" applyFont="1" applyBorder="1" applyAlignment="1">
      <alignment horizontal="center"/>
    </xf>
    <xf numFmtId="43" fontId="20" fillId="0" borderId="26" xfId="1" applyFont="1" applyBorder="1" applyAlignment="1">
      <alignment horizontal="center"/>
    </xf>
    <xf numFmtId="49" fontId="9" fillId="0" borderId="0" xfId="0" applyNumberFormat="1" applyFont="1" applyAlignment="1">
      <alignment horizontal="center"/>
    </xf>
    <xf numFmtId="0" fontId="25" fillId="0" borderId="0" xfId="0" applyFont="1" applyAlignment="1">
      <alignment horizontal="center"/>
    </xf>
    <xf numFmtId="0" fontId="25" fillId="0" borderId="0" xfId="0" applyFont="1" applyAlignment="1">
      <alignment horizontal="center" vertical="center"/>
    </xf>
    <xf numFmtId="43" fontId="0" fillId="0" borderId="17" xfId="1" applyFont="1" applyBorder="1"/>
    <xf numFmtId="43" fontId="0" fillId="0" borderId="6" xfId="1" applyFont="1" applyBorder="1"/>
    <xf numFmtId="43" fontId="0" fillId="0" borderId="48" xfId="1" applyFont="1" applyBorder="1"/>
    <xf numFmtId="43" fontId="6" fillId="0" borderId="11" xfId="1" applyBorder="1"/>
    <xf numFmtId="0" fontId="16" fillId="0" borderId="0" xfId="0" applyFont="1" applyAlignment="1">
      <alignment horizontal="center" vertical="center" textRotation="180" wrapText="1"/>
    </xf>
    <xf numFmtId="0" fontId="0" fillId="0" borderId="23" xfId="0" applyBorder="1" applyAlignment="1">
      <alignment horizontal="right"/>
    </xf>
    <xf numFmtId="0" fontId="0" fillId="0" borderId="49" xfId="0" applyBorder="1" applyAlignment="1">
      <alignment horizontal="right"/>
    </xf>
    <xf numFmtId="43" fontId="6" fillId="0" borderId="36" xfId="1" applyBorder="1"/>
    <xf numFmtId="0" fontId="0" fillId="0" borderId="23" xfId="0" applyBorder="1" applyAlignment="1">
      <alignment horizontal="center"/>
    </xf>
    <xf numFmtId="0" fontId="0" fillId="0" borderId="2" xfId="0" applyBorder="1" applyAlignment="1">
      <alignment horizontal="center" vertical="center" wrapText="1"/>
    </xf>
    <xf numFmtId="0" fontId="19" fillId="0" borderId="0" xfId="0" applyFont="1" applyAlignment="1">
      <alignment horizontal="right"/>
    </xf>
    <xf numFmtId="43" fontId="20" fillId="0" borderId="33" xfId="1" applyFont="1" applyBorder="1" applyAlignment="1">
      <alignment horizontal="center"/>
    </xf>
    <xf numFmtId="43" fontId="20" fillId="0" borderId="7" xfId="1" applyFont="1" applyBorder="1" applyAlignment="1">
      <alignment horizontal="center"/>
    </xf>
    <xf numFmtId="49" fontId="0" fillId="0" borderId="3" xfId="0" applyNumberFormat="1" applyBorder="1" applyAlignment="1">
      <alignment horizontal="left"/>
    </xf>
    <xf numFmtId="49" fontId="0" fillId="0" borderId="23" xfId="0" applyNumberFormat="1" applyBorder="1" applyAlignment="1">
      <alignment horizontal="center"/>
    </xf>
    <xf numFmtId="0" fontId="20" fillId="0" borderId="11" xfId="0" applyFont="1" applyBorder="1" applyAlignment="1">
      <alignment horizontal="center"/>
    </xf>
    <xf numFmtId="0" fontId="13" fillId="0" borderId="0" xfId="0" applyFont="1" applyAlignment="1">
      <alignment horizontal="right"/>
    </xf>
    <xf numFmtId="43" fontId="6" fillId="0" borderId="25" xfId="1" applyBorder="1"/>
    <xf numFmtId="49" fontId="13" fillId="0" borderId="0" xfId="0" applyNumberFormat="1" applyFont="1" applyAlignment="1">
      <alignment horizontal="left"/>
    </xf>
    <xf numFmtId="0" fontId="20" fillId="0" borderId="14" xfId="0" applyFont="1" applyBorder="1" applyAlignment="1">
      <alignment horizontal="center"/>
    </xf>
    <xf numFmtId="43" fontId="6" fillId="0" borderId="14" xfId="1" applyBorder="1"/>
    <xf numFmtId="43" fontId="20" fillId="0" borderId="27" xfId="1" applyFont="1" applyBorder="1" applyAlignment="1">
      <alignment horizontal="center"/>
    </xf>
    <xf numFmtId="43" fontId="20" fillId="0" borderId="24" xfId="1" applyFont="1" applyBorder="1" applyAlignment="1">
      <alignment horizontal="center"/>
    </xf>
    <xf numFmtId="43" fontId="6" fillId="0" borderId="26" xfId="1" applyBorder="1"/>
    <xf numFmtId="43" fontId="6" fillId="0" borderId="35" xfId="1" applyBorder="1"/>
    <xf numFmtId="49" fontId="19" fillId="0" borderId="0" xfId="0" applyNumberFormat="1" applyFont="1" applyAlignment="1">
      <alignment horizontal="left"/>
    </xf>
    <xf numFmtId="0" fontId="20" fillId="0" borderId="0" xfId="0" applyFont="1" applyAlignment="1">
      <alignment horizontal="center"/>
    </xf>
    <xf numFmtId="0" fontId="0" fillId="0" borderId="52" xfId="0" applyBorder="1"/>
    <xf numFmtId="43" fontId="0" fillId="0" borderId="4" xfId="1" applyFont="1" applyBorder="1"/>
    <xf numFmtId="43" fontId="20" fillId="0" borderId="4" xfId="1" applyFont="1" applyBorder="1" applyAlignment="1">
      <alignment horizontal="center"/>
    </xf>
    <xf numFmtId="43" fontId="20" fillId="0" borderId="0" xfId="1" applyFont="1" applyAlignment="1">
      <alignment horizontal="center"/>
    </xf>
    <xf numFmtId="43" fontId="20" fillId="0" borderId="6" xfId="1" applyFont="1" applyBorder="1" applyAlignment="1">
      <alignment horizontal="center"/>
    </xf>
    <xf numFmtId="43" fontId="0" fillId="0" borderId="53" xfId="1" applyFont="1" applyBorder="1"/>
    <xf numFmtId="43" fontId="20" fillId="0" borderId="32" xfId="1" applyFont="1" applyBorder="1" applyAlignment="1">
      <alignment horizontal="center"/>
    </xf>
    <xf numFmtId="0" fontId="28" fillId="0" borderId="0" xfId="0" applyFont="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0" fontId="0" fillId="0" borderId="59" xfId="0" applyBorder="1"/>
    <xf numFmtId="0" fontId="0" fillId="0" borderId="60" xfId="0" applyBorder="1"/>
    <xf numFmtId="0" fontId="0" fillId="0" borderId="61" xfId="0" applyBorder="1"/>
    <xf numFmtId="49" fontId="20" fillId="0" borderId="0" xfId="0" applyNumberFormat="1" applyFont="1" applyAlignment="1">
      <alignment horizontal="left"/>
    </xf>
    <xf numFmtId="0" fontId="16" fillId="0" borderId="0" xfId="0" applyFont="1" applyAlignment="1">
      <alignment horizontal="center"/>
    </xf>
    <xf numFmtId="0" fontId="14" fillId="0" borderId="0" xfId="0" applyFont="1" applyAlignment="1">
      <alignment horizontal="left"/>
    </xf>
    <xf numFmtId="0" fontId="0" fillId="0" borderId="62" xfId="0" applyBorder="1"/>
    <xf numFmtId="49" fontId="0" fillId="0" borderId="62" xfId="0" applyNumberFormat="1" applyBorder="1" applyAlignment="1">
      <alignment horizontal="center" vertical="center"/>
    </xf>
    <xf numFmtId="0" fontId="0" fillId="0" borderId="62" xfId="0" applyBorder="1" applyAlignment="1">
      <alignment horizontal="center" vertical="center"/>
    </xf>
    <xf numFmtId="0" fontId="18" fillId="0" borderId="0" xfId="0" applyFont="1"/>
    <xf numFmtId="43" fontId="6" fillId="0" borderId="0" xfId="1"/>
    <xf numFmtId="0" fontId="16" fillId="0" borderId="18" xfId="0" applyFont="1" applyBorder="1"/>
    <xf numFmtId="0" fontId="0" fillId="0" borderId="65" xfId="0" applyBorder="1"/>
    <xf numFmtId="49" fontId="19" fillId="0" borderId="0" xfId="0" applyNumberFormat="1" applyFont="1"/>
    <xf numFmtId="0" fontId="19" fillId="0" borderId="0" xfId="0" applyFont="1" applyAlignment="1">
      <alignment horizontal="left"/>
    </xf>
    <xf numFmtId="49" fontId="0" fillId="0" borderId="0" xfId="0" applyNumberFormat="1"/>
    <xf numFmtId="43" fontId="20" fillId="0" borderId="28" xfId="1" applyFont="1" applyBorder="1" applyAlignment="1">
      <alignment horizontal="center"/>
    </xf>
    <xf numFmtId="43" fontId="0" fillId="0" borderId="56" xfId="0" applyNumberFormat="1" applyBorder="1"/>
    <xf numFmtId="43" fontId="23" fillId="0" borderId="36" xfId="1" applyFont="1" applyBorder="1" applyAlignment="1"/>
    <xf numFmtId="0" fontId="0" fillId="0" borderId="0" xfId="0" applyAlignment="1">
      <alignment horizontal="center" vertical="top"/>
    </xf>
    <xf numFmtId="0" fontId="0" fillId="0" borderId="15" xfId="0" applyBorder="1" applyAlignment="1">
      <alignment horizontal="center" vertical="top"/>
    </xf>
    <xf numFmtId="49" fontId="19" fillId="0" borderId="0" xfId="0" applyNumberFormat="1" applyFont="1" applyAlignment="1">
      <alignment horizontal="right"/>
    </xf>
    <xf numFmtId="8" fontId="19" fillId="0" borderId="0" xfId="0" applyNumberFormat="1" applyFont="1"/>
    <xf numFmtId="0" fontId="41" fillId="0" borderId="0" xfId="0" applyFont="1"/>
    <xf numFmtId="49" fontId="41" fillId="0" borderId="0" xfId="0" applyNumberFormat="1" applyFont="1" applyAlignment="1">
      <alignment horizontal="left"/>
    </xf>
    <xf numFmtId="0" fontId="41" fillId="0" borderId="0" xfId="0" applyFont="1" applyAlignment="1">
      <alignment horizontal="right"/>
    </xf>
    <xf numFmtId="0" fontId="41" fillId="0" borderId="0" xfId="0" applyFont="1" applyAlignment="1">
      <alignment horizontal="left"/>
    </xf>
    <xf numFmtId="43" fontId="0" fillId="0" borderId="3" xfId="1" applyFont="1" applyBorder="1" applyAlignment="1">
      <alignment horizontal="center"/>
    </xf>
    <xf numFmtId="43" fontId="0" fillId="0" borderId="32" xfId="1" applyFont="1" applyBorder="1"/>
    <xf numFmtId="43" fontId="16" fillId="0" borderId="3" xfId="1" applyFont="1" applyBorder="1"/>
    <xf numFmtId="43" fontId="16" fillId="0" borderId="34" xfId="1" applyFont="1" applyBorder="1"/>
    <xf numFmtId="43" fontId="16" fillId="0" borderId="33" xfId="1" applyFont="1" applyBorder="1"/>
    <xf numFmtId="43" fontId="16" fillId="0" borderId="18" xfId="1" applyFont="1" applyBorder="1"/>
    <xf numFmtId="43" fontId="16" fillId="0" borderId="11" xfId="1" applyFont="1" applyBorder="1"/>
    <xf numFmtId="43" fontId="16" fillId="0" borderId="8" xfId="1" applyFont="1" applyBorder="1"/>
    <xf numFmtId="43" fontId="16" fillId="0" borderId="28" xfId="1" applyFont="1" applyBorder="1"/>
    <xf numFmtId="43" fontId="16" fillId="0" borderId="30" xfId="1" applyFont="1" applyBorder="1"/>
    <xf numFmtId="43" fontId="16" fillId="0" borderId="64" xfId="1" applyFont="1" applyBorder="1"/>
    <xf numFmtId="43" fontId="0" fillId="0" borderId="0" xfId="0" applyNumberFormat="1"/>
    <xf numFmtId="49" fontId="20" fillId="0" borderId="18" xfId="0" applyNumberFormat="1" applyFont="1" applyBorder="1" applyAlignment="1">
      <alignment horizontal="left"/>
    </xf>
    <xf numFmtId="43" fontId="16" fillId="0" borderId="0" xfId="1" applyFont="1"/>
    <xf numFmtId="43" fontId="16" fillId="0" borderId="26" xfId="1" applyFont="1" applyBorder="1"/>
    <xf numFmtId="43" fontId="16" fillId="0" borderId="82" xfId="1" applyFont="1" applyBorder="1"/>
    <xf numFmtId="43" fontId="16" fillId="0" borderId="35" xfId="1" applyFont="1" applyBorder="1"/>
    <xf numFmtId="43" fontId="16" fillId="0" borderId="12" xfId="1" applyFont="1" applyBorder="1"/>
    <xf numFmtId="43" fontId="16" fillId="0" borderId="36" xfId="1" applyFont="1" applyBorder="1"/>
    <xf numFmtId="0" fontId="16" fillId="0" borderId="15" xfId="0" applyFont="1" applyBorder="1"/>
    <xf numFmtId="43" fontId="16" fillId="0" borderId="83" xfId="1" applyFont="1" applyBorder="1"/>
    <xf numFmtId="43" fontId="16" fillId="0" borderId="84" xfId="1" applyFont="1" applyBorder="1"/>
    <xf numFmtId="43" fontId="16" fillId="0" borderId="23" xfId="1" applyFont="1" applyBorder="1"/>
    <xf numFmtId="43" fontId="0" fillId="0" borderId="86" xfId="1" applyFont="1" applyBorder="1"/>
    <xf numFmtId="43" fontId="0" fillId="0" borderId="87" xfId="1" applyFont="1" applyBorder="1"/>
    <xf numFmtId="0" fontId="42" fillId="0" borderId="0" xfId="0" applyFont="1"/>
    <xf numFmtId="0" fontId="0" fillId="0" borderId="52" xfId="0" applyBorder="1" applyAlignment="1">
      <alignment horizontal="right"/>
    </xf>
    <xf numFmtId="0" fontId="0" fillId="0" borderId="12" xfId="0" applyBorder="1" applyAlignment="1">
      <alignment horizontal="center"/>
    </xf>
    <xf numFmtId="43" fontId="6" fillId="0" borderId="12" xfId="1" applyBorder="1"/>
    <xf numFmtId="43" fontId="0" fillId="0" borderId="7" xfId="1" applyFont="1" applyFill="1" applyBorder="1"/>
    <xf numFmtId="10" fontId="0" fillId="0" borderId="0" xfId="13" applyNumberFormat="1" applyFont="1"/>
    <xf numFmtId="49" fontId="0" fillId="0" borderId="0" xfId="0" quotePrefix="1" applyNumberFormat="1" applyAlignment="1">
      <alignment horizontal="center"/>
    </xf>
    <xf numFmtId="43" fontId="6" fillId="0" borderId="26" xfId="1" applyFill="1" applyBorder="1"/>
    <xf numFmtId="165" fontId="0" fillId="0" borderId="0" xfId="0" applyNumberFormat="1"/>
    <xf numFmtId="168" fontId="0" fillId="0" borderId="0" xfId="0" applyNumberFormat="1"/>
    <xf numFmtId="167" fontId="0" fillId="0" borderId="0" xfId="0" applyNumberFormat="1"/>
    <xf numFmtId="43" fontId="6" fillId="0" borderId="4" xfId="1" applyFill="1" applyBorder="1"/>
    <xf numFmtId="43" fontId="6" fillId="0" borderId="0" xfId="1" applyFill="1"/>
    <xf numFmtId="43" fontId="6" fillId="0" borderId="3" xfId="1" applyFill="1" applyBorder="1"/>
    <xf numFmtId="43" fontId="20" fillId="0" borderId="3" xfId="1" applyFont="1" applyFill="1" applyBorder="1" applyAlignment="1">
      <alignment horizontal="center"/>
    </xf>
    <xf numFmtId="43" fontId="16" fillId="0" borderId="26" xfId="1" applyFont="1" applyFill="1" applyBorder="1"/>
    <xf numFmtId="43" fontId="16" fillId="0" borderId="32" xfId="1" applyFont="1" applyFill="1" applyBorder="1"/>
    <xf numFmtId="43" fontId="16" fillId="0" borderId="87" xfId="1" applyFont="1" applyFill="1" applyBorder="1"/>
    <xf numFmtId="43" fontId="0" fillId="0" borderId="3" xfId="1" applyFont="1" applyFill="1" applyBorder="1"/>
    <xf numFmtId="43" fontId="0" fillId="0" borderId="26" xfId="1" applyFont="1" applyFill="1" applyBorder="1"/>
    <xf numFmtId="43" fontId="6" fillId="0" borderId="0" xfId="0" applyNumberFormat="1" applyFont="1"/>
    <xf numFmtId="0" fontId="6" fillId="0" borderId="0" xfId="0" applyFont="1"/>
    <xf numFmtId="43" fontId="6" fillId="0" borderId="7" xfId="1" applyFill="1" applyBorder="1"/>
    <xf numFmtId="14" fontId="25" fillId="0" borderId="0" xfId="0" applyNumberFormat="1" applyFont="1" applyAlignment="1">
      <alignment horizontal="center"/>
    </xf>
    <xf numFmtId="0" fontId="25" fillId="0" borderId="0" xfId="0" applyFont="1" applyAlignment="1">
      <alignment horizontal="left"/>
    </xf>
    <xf numFmtId="14" fontId="0" fillId="0" borderId="0" xfId="0" applyNumberFormat="1" applyAlignment="1">
      <alignment horizontal="center"/>
    </xf>
    <xf numFmtId="14" fontId="0" fillId="0" borderId="16" xfId="0" applyNumberFormat="1" applyBorder="1" applyAlignment="1">
      <alignment horizontal="center"/>
    </xf>
    <xf numFmtId="14" fontId="0" fillId="0" borderId="10" xfId="0" applyNumberFormat="1" applyBorder="1" applyAlignment="1">
      <alignment horizontal="center"/>
    </xf>
    <xf numFmtId="0" fontId="6" fillId="0" borderId="3" xfId="0" quotePrefix="1" applyFont="1" applyBorder="1"/>
    <xf numFmtId="1" fontId="6" fillId="0" borderId="0" xfId="19" applyNumberFormat="1" applyAlignment="1">
      <alignment horizontal="center"/>
    </xf>
    <xf numFmtId="0" fontId="6" fillId="0" borderId="3" xfId="19" applyBorder="1"/>
    <xf numFmtId="14" fontId="13" fillId="0" borderId="0" xfId="0" applyNumberFormat="1" applyFont="1" applyAlignment="1">
      <alignment horizontal="center"/>
    </xf>
    <xf numFmtId="14" fontId="0" fillId="0" borderId="11" xfId="0" applyNumberFormat="1" applyBorder="1" applyAlignment="1">
      <alignment horizontal="center"/>
    </xf>
    <xf numFmtId="14" fontId="0" fillId="0" borderId="15" xfId="0" applyNumberFormat="1" applyBorder="1" applyAlignment="1">
      <alignment horizontal="center"/>
    </xf>
    <xf numFmtId="43" fontId="0" fillId="0" borderId="20" xfId="1" applyFont="1" applyFill="1" applyBorder="1"/>
    <xf numFmtId="43" fontId="16" fillId="0" borderId="27" xfId="1" applyFont="1" applyFill="1" applyBorder="1"/>
    <xf numFmtId="43" fontId="20" fillId="0" borderId="7" xfId="1" applyFont="1" applyFill="1" applyBorder="1" applyAlignment="1">
      <alignment horizontal="center"/>
    </xf>
    <xf numFmtId="43" fontId="16" fillId="0" borderId="3" xfId="1" applyFont="1" applyFill="1" applyBorder="1"/>
    <xf numFmtId="43" fontId="16" fillId="0" borderId="36" xfId="1" applyFont="1" applyFill="1" applyBorder="1"/>
    <xf numFmtId="43" fontId="20" fillId="0" borderId="27" xfId="1" applyFont="1" applyFill="1" applyBorder="1" applyAlignment="1">
      <alignment horizontal="center"/>
    </xf>
    <xf numFmtId="43" fontId="20" fillId="0" borderId="6" xfId="1" applyFont="1" applyFill="1" applyBorder="1" applyAlignment="1">
      <alignment horizontal="center"/>
    </xf>
    <xf numFmtId="43" fontId="6" fillId="0" borderId="48" xfId="1" applyFont="1" applyFill="1" applyBorder="1"/>
    <xf numFmtId="0" fontId="6" fillId="0" borderId="31" xfId="0" applyFont="1" applyBorder="1"/>
    <xf numFmtId="43" fontId="6" fillId="0" borderId="17" xfId="1" applyFont="1" applyFill="1" applyBorder="1"/>
    <xf numFmtId="0" fontId="6" fillId="0" borderId="0" xfId="69" applyAlignment="1">
      <alignment horizontal="left"/>
    </xf>
    <xf numFmtId="0" fontId="6" fillId="0" borderId="3" xfId="0" applyFont="1" applyBorder="1"/>
    <xf numFmtId="0" fontId="6" fillId="0" borderId="23" xfId="0" applyFont="1" applyBorder="1"/>
    <xf numFmtId="0" fontId="26" fillId="0" borderId="0" xfId="0" applyFont="1" applyAlignment="1">
      <alignment horizontal="center" vertical="center" textRotation="180" wrapText="1"/>
    </xf>
    <xf numFmtId="0" fontId="16" fillId="0" borderId="23" xfId="0" applyFont="1" applyBorder="1"/>
    <xf numFmtId="0" fontId="6" fillId="0" borderId="0" xfId="19"/>
    <xf numFmtId="43" fontId="6" fillId="0" borderId="22" xfId="1" applyFont="1" applyBorder="1"/>
    <xf numFmtId="0" fontId="6" fillId="0" borderId="0" xfId="68" applyAlignment="1">
      <alignment horizontal="left"/>
    </xf>
    <xf numFmtId="43" fontId="16" fillId="0" borderId="7" xfId="1" applyFont="1" applyBorder="1"/>
    <xf numFmtId="43" fontId="16" fillId="0" borderId="29" xfId="1" applyFont="1" applyBorder="1"/>
    <xf numFmtId="43" fontId="16" fillId="0" borderId="7" xfId="1" applyFont="1" applyFill="1" applyBorder="1"/>
    <xf numFmtId="43" fontId="6" fillId="0" borderId="0" xfId="1" applyFont="1" applyFill="1"/>
    <xf numFmtId="0" fontId="27" fillId="0" borderId="0" xfId="0" applyFont="1" applyAlignment="1">
      <alignment horizontal="center"/>
    </xf>
    <xf numFmtId="43" fontId="20" fillId="0" borderId="18" xfId="1" applyFont="1" applyFill="1" applyBorder="1" applyAlignment="1">
      <alignment horizontal="center"/>
    </xf>
    <xf numFmtId="43" fontId="20" fillId="0" borderId="32" xfId="1" applyFont="1" applyFill="1" applyBorder="1" applyAlignment="1">
      <alignment horizontal="center"/>
    </xf>
    <xf numFmtId="43" fontId="16" fillId="0" borderId="11" xfId="1" applyFont="1" applyFill="1" applyBorder="1"/>
    <xf numFmtId="43" fontId="16" fillId="0" borderId="8" xfId="1" applyFont="1" applyFill="1" applyBorder="1"/>
    <xf numFmtId="43" fontId="26" fillId="0" borderId="28" xfId="1" applyFont="1" applyFill="1" applyBorder="1"/>
    <xf numFmtId="43" fontId="16" fillId="0" borderId="29" xfId="1" applyFont="1" applyFill="1" applyBorder="1"/>
    <xf numFmtId="0" fontId="0" fillId="0" borderId="0" xfId="0" quotePrefix="1"/>
    <xf numFmtId="43" fontId="16" fillId="0" borderId="30" xfId="1" applyFont="1" applyFill="1" applyBorder="1"/>
    <xf numFmtId="0" fontId="45" fillId="0" borderId="0" xfId="0" applyFont="1"/>
    <xf numFmtId="0" fontId="45" fillId="0" borderId="0" xfId="0" applyFont="1" applyAlignment="1">
      <alignment horizontal="center"/>
    </xf>
    <xf numFmtId="43" fontId="45" fillId="0" borderId="0" xfId="0" applyNumberFormat="1" applyFont="1"/>
    <xf numFmtId="43" fontId="0" fillId="0" borderId="8" xfId="1" applyFont="1" applyFill="1" applyBorder="1"/>
    <xf numFmtId="43" fontId="16" fillId="0" borderId="4" xfId="1" applyFont="1" applyFill="1" applyBorder="1"/>
    <xf numFmtId="43" fontId="16" fillId="0" borderId="86" xfId="1" applyFont="1" applyFill="1" applyBorder="1"/>
    <xf numFmtId="43" fontId="16" fillId="2" borderId="7" xfId="1" applyFont="1" applyFill="1" applyBorder="1" applyProtection="1">
      <protection locked="0"/>
    </xf>
    <xf numFmtId="43" fontId="16" fillId="0" borderId="7" xfId="1" applyFont="1" applyFill="1" applyBorder="1" applyProtection="1">
      <protection locked="0"/>
    </xf>
    <xf numFmtId="43" fontId="0" fillId="2" borderId="7" xfId="1" applyFont="1" applyFill="1" applyBorder="1" applyProtection="1">
      <protection locked="0"/>
    </xf>
    <xf numFmtId="0" fontId="0" fillId="2" borderId="26" xfId="0" applyFill="1" applyBorder="1" applyProtection="1">
      <protection locked="0"/>
    </xf>
    <xf numFmtId="43" fontId="6" fillId="2" borderId="26" xfId="1" applyFill="1" applyBorder="1" applyProtection="1">
      <protection locked="0"/>
    </xf>
    <xf numFmtId="0" fontId="58" fillId="0" borderId="0" xfId="0" applyFont="1"/>
    <xf numFmtId="0" fontId="0" fillId="0" borderId="0" xfId="0" applyProtection="1">
      <protection locked="0"/>
    </xf>
    <xf numFmtId="0" fontId="59" fillId="0" borderId="0" xfId="0" applyFont="1"/>
    <xf numFmtId="0" fontId="60" fillId="0" borderId="0" xfId="0" applyFont="1" applyAlignment="1">
      <alignment horizontal="left"/>
    </xf>
    <xf numFmtId="0" fontId="60" fillId="0" borderId="0" xfId="0" quotePrefix="1" applyFont="1" applyAlignment="1">
      <alignment horizontal="left"/>
    </xf>
    <xf numFmtId="3" fontId="0" fillId="0" borderId="0" xfId="0" applyNumberFormat="1"/>
    <xf numFmtId="0" fontId="0" fillId="2" borderId="0" xfId="0" applyFill="1" applyProtection="1">
      <protection locked="0"/>
    </xf>
    <xf numFmtId="43" fontId="6" fillId="0" borderId="0" xfId="19" applyNumberFormat="1"/>
    <xf numFmtId="0" fontId="6" fillId="0" borderId="0" xfId="19" applyAlignment="1">
      <alignment horizontal="center"/>
    </xf>
    <xf numFmtId="43" fontId="6" fillId="0" borderId="11" xfId="1" applyFill="1" applyBorder="1"/>
    <xf numFmtId="0" fontId="6" fillId="0" borderId="2" xfId="19" applyBorder="1" applyAlignment="1">
      <alignment horizontal="center" vertical="center"/>
    </xf>
    <xf numFmtId="43" fontId="16" fillId="0" borderId="12" xfId="1" applyFont="1" applyFill="1" applyBorder="1"/>
    <xf numFmtId="43" fontId="16" fillId="0" borderId="83" xfId="1" applyFont="1" applyFill="1" applyBorder="1"/>
    <xf numFmtId="0" fontId="20" fillId="0" borderId="3" xfId="19" applyFont="1" applyBorder="1"/>
    <xf numFmtId="0" fontId="6" fillId="0" borderId="1" xfId="19" applyBorder="1" applyAlignment="1">
      <alignment horizontal="center" vertical="center"/>
    </xf>
    <xf numFmtId="0" fontId="13" fillId="0" borderId="0" xfId="19" applyFont="1"/>
    <xf numFmtId="0" fontId="6" fillId="0" borderId="31" xfId="19" applyBorder="1"/>
    <xf numFmtId="0" fontId="6" fillId="0" borderId="23" xfId="19" applyBorder="1"/>
    <xf numFmtId="0" fontId="6" fillId="0" borderId="20" xfId="19" applyBorder="1"/>
    <xf numFmtId="0" fontId="6" fillId="0" borderId="18" xfId="19" applyBorder="1"/>
    <xf numFmtId="0" fontId="6" fillId="0" borderId="14" xfId="19" applyBorder="1"/>
    <xf numFmtId="0" fontId="6" fillId="0" borderId="12" xfId="19" applyBorder="1"/>
    <xf numFmtId="0" fontId="6" fillId="0" borderId="11" xfId="19" applyBorder="1"/>
    <xf numFmtId="0" fontId="6" fillId="0" borderId="11" xfId="19" applyBorder="1" applyAlignment="1">
      <alignment horizontal="center"/>
    </xf>
    <xf numFmtId="0" fontId="6" fillId="0" borderId="8" xfId="19" applyBorder="1"/>
    <xf numFmtId="0" fontId="6" fillId="0" borderId="15" xfId="19" applyBorder="1" applyAlignment="1">
      <alignment horizontal="center"/>
    </xf>
    <xf numFmtId="0" fontId="6" fillId="0" borderId="10" xfId="19" applyBorder="1" applyAlignment="1">
      <alignment horizontal="center"/>
    </xf>
    <xf numFmtId="0" fontId="6" fillId="0" borderId="16" xfId="19" applyBorder="1" applyAlignment="1">
      <alignment horizontal="center"/>
    </xf>
    <xf numFmtId="0" fontId="6" fillId="0" borderId="13" xfId="19" applyBorder="1"/>
    <xf numFmtId="0" fontId="6" fillId="0" borderId="9" xfId="19" applyBorder="1"/>
    <xf numFmtId="0" fontId="6" fillId="0" borderId="4" xfId="19" applyBorder="1" applyAlignment="1">
      <alignment horizontal="center"/>
    </xf>
    <xf numFmtId="43" fontId="6" fillId="0" borderId="35" xfId="1" applyFont="1" applyFill="1" applyBorder="1" applyAlignment="1"/>
    <xf numFmtId="43" fontId="6" fillId="0" borderId="20" xfId="1" applyFont="1" applyFill="1" applyBorder="1" applyAlignment="1"/>
    <xf numFmtId="43" fontId="6" fillId="0" borderId="5" xfId="1" applyFont="1" applyFill="1" applyBorder="1" applyAlignment="1"/>
    <xf numFmtId="43" fontId="6" fillId="0" borderId="74" xfId="1" applyFont="1" applyFill="1" applyBorder="1" applyAlignment="1"/>
    <xf numFmtId="43" fontId="6" fillId="0" borderId="26" xfId="1" applyFont="1" applyFill="1" applyBorder="1" applyAlignment="1"/>
    <xf numFmtId="43" fontId="6" fillId="0" borderId="15" xfId="1" applyFont="1" applyFill="1" applyBorder="1" applyAlignment="1"/>
    <xf numFmtId="43" fontId="6" fillId="0" borderId="53" xfId="1" applyFont="1" applyFill="1" applyBorder="1" applyAlignment="1"/>
    <xf numFmtId="43" fontId="6" fillId="0" borderId="41" xfId="1" applyFont="1" applyFill="1" applyBorder="1" applyAlignment="1"/>
    <xf numFmtId="0" fontId="6" fillId="0" borderId="26" xfId="19" applyBorder="1"/>
    <xf numFmtId="0" fontId="16" fillId="0" borderId="26" xfId="19" applyFont="1" applyBorder="1"/>
    <xf numFmtId="43" fontId="6" fillId="0" borderId="41" xfId="1" applyFont="1" applyFill="1" applyBorder="1" applyAlignment="1">
      <alignment horizontal="right"/>
    </xf>
    <xf numFmtId="43" fontId="6" fillId="0" borderId="19" xfId="1" applyFont="1" applyFill="1" applyBorder="1" applyAlignment="1">
      <alignment horizontal="right"/>
    </xf>
    <xf numFmtId="0" fontId="16" fillId="0" borderId="18" xfId="19" applyFont="1" applyBorder="1"/>
    <xf numFmtId="43" fontId="6" fillId="0" borderId="35" xfId="1" applyFill="1" applyBorder="1"/>
    <xf numFmtId="43" fontId="6" fillId="0" borderId="34" xfId="1" applyFill="1" applyBorder="1"/>
    <xf numFmtId="0" fontId="19" fillId="0" borderId="38" xfId="19" applyFont="1" applyBorder="1" applyAlignment="1">
      <alignment horizontal="center"/>
    </xf>
    <xf numFmtId="0" fontId="19" fillId="0" borderId="26" xfId="19" applyFont="1" applyBorder="1" applyAlignment="1">
      <alignment horizontal="center"/>
    </xf>
    <xf numFmtId="0" fontId="19" fillId="0" borderId="3" xfId="19" applyFont="1" applyBorder="1"/>
    <xf numFmtId="43" fontId="6" fillId="0" borderId="27" xfId="1" applyFill="1" applyBorder="1"/>
    <xf numFmtId="0" fontId="19" fillId="0" borderId="3" xfId="19" applyFont="1" applyBorder="1" applyAlignment="1">
      <alignment horizontal="center"/>
    </xf>
    <xf numFmtId="43" fontId="6" fillId="0" borderId="3" xfId="1" applyFont="1" applyFill="1" applyBorder="1" applyAlignment="1"/>
    <xf numFmtId="43" fontId="6" fillId="0" borderId="10" xfId="1" applyFill="1" applyBorder="1"/>
    <xf numFmtId="0" fontId="19" fillId="0" borderId="0" xfId="19" applyFont="1" applyAlignment="1">
      <alignment horizontal="center"/>
    </xf>
    <xf numFmtId="43" fontId="6" fillId="0" borderId="18" xfId="1" applyFill="1" applyBorder="1"/>
    <xf numFmtId="43" fontId="6" fillId="0" borderId="33" xfId="1" applyFill="1" applyBorder="1"/>
    <xf numFmtId="0" fontId="19" fillId="0" borderId="18" xfId="19" applyFont="1" applyBorder="1" applyAlignment="1">
      <alignment horizontal="center"/>
    </xf>
    <xf numFmtId="49" fontId="6" fillId="0" borderId="8" xfId="19" applyNumberFormat="1" applyBorder="1" applyAlignment="1">
      <alignment horizontal="center"/>
    </xf>
    <xf numFmtId="49" fontId="6" fillId="0" borderId="11" xfId="19" applyNumberFormat="1" applyBorder="1" applyAlignment="1">
      <alignment horizontal="center"/>
    </xf>
    <xf numFmtId="0" fontId="6" fillId="0" borderId="9" xfId="19" applyBorder="1" applyAlignment="1">
      <alignment horizontal="center"/>
    </xf>
    <xf numFmtId="0" fontId="8" fillId="0" borderId="0" xfId="19" applyFont="1" applyAlignment="1">
      <alignment horizontal="center"/>
    </xf>
    <xf numFmtId="43" fontId="0" fillId="0" borderId="0" xfId="1" applyFont="1" applyFill="1"/>
    <xf numFmtId="43" fontId="0" fillId="0" borderId="11" xfId="1" applyFont="1" applyFill="1" applyBorder="1"/>
    <xf numFmtId="0" fontId="6" fillId="0" borderId="63" xfId="19" applyBorder="1"/>
    <xf numFmtId="43" fontId="20" fillId="0" borderId="33" xfId="1" applyFont="1" applyFill="1" applyBorder="1" applyAlignment="1">
      <alignment horizontal="center"/>
    </xf>
    <xf numFmtId="0" fontId="19" fillId="0" borderId="0" xfId="19" applyFont="1"/>
    <xf numFmtId="0" fontId="6" fillId="0" borderId="0" xfId="19" applyAlignment="1">
      <alignment horizontal="right"/>
    </xf>
    <xf numFmtId="0" fontId="18" fillId="0" borderId="0" xfId="19" applyFont="1"/>
    <xf numFmtId="43" fontId="6" fillId="0" borderId="81" xfId="1" applyFill="1" applyBorder="1"/>
    <xf numFmtId="14" fontId="6" fillId="0" borderId="18" xfId="19" applyNumberFormat="1" applyBorder="1"/>
    <xf numFmtId="0" fontId="6" fillId="0" borderId="1" xfId="19" applyBorder="1"/>
    <xf numFmtId="43" fontId="6" fillId="0" borderId="5" xfId="19" applyNumberFormat="1" applyBorder="1" applyAlignment="1">
      <alignment horizontal="center"/>
    </xf>
    <xf numFmtId="43" fontId="6" fillId="0" borderId="7" xfId="19" applyNumberFormat="1" applyBorder="1"/>
    <xf numFmtId="1" fontId="6" fillId="0" borderId="0" xfId="19" applyNumberFormat="1"/>
    <xf numFmtId="49" fontId="6" fillId="0" borderId="0" xfId="19" applyNumberFormat="1" applyAlignment="1">
      <alignment horizontal="center"/>
    </xf>
    <xf numFmtId="0" fontId="25" fillId="0" borderId="0" xfId="19" applyFont="1" applyAlignment="1">
      <alignment horizontal="center"/>
    </xf>
    <xf numFmtId="0" fontId="25" fillId="0" borderId="0" xfId="19" applyFont="1" applyAlignment="1">
      <alignment horizontal="center" vertical="center"/>
    </xf>
    <xf numFmtId="0" fontId="6" fillId="0" borderId="0" xfId="19" applyAlignment="1">
      <alignment vertical="center"/>
    </xf>
    <xf numFmtId="49" fontId="9" fillId="0" borderId="0" xfId="19" applyNumberFormat="1" applyFont="1" applyAlignment="1">
      <alignment horizontal="center"/>
    </xf>
    <xf numFmtId="14" fontId="25" fillId="0" borderId="0" xfId="19" applyNumberFormat="1" applyFont="1" applyAlignment="1">
      <alignment horizontal="center"/>
    </xf>
    <xf numFmtId="14" fontId="6" fillId="0" borderId="0" xfId="19" applyNumberFormat="1" applyAlignment="1">
      <alignment horizontal="center"/>
    </xf>
    <xf numFmtId="0" fontId="6" fillId="0" borderId="30" xfId="19" applyBorder="1"/>
    <xf numFmtId="0" fontId="6" fillId="0" borderId="29" xfId="19" applyBorder="1"/>
    <xf numFmtId="0" fontId="6" fillId="0" borderId="37" xfId="19" applyBorder="1" applyAlignment="1">
      <alignment horizontal="center" vertical="center" wrapText="1"/>
    </xf>
    <xf numFmtId="43" fontId="6" fillId="0" borderId="0" xfId="19" applyNumberFormat="1" applyAlignment="1">
      <alignment horizontal="center"/>
    </xf>
    <xf numFmtId="43" fontId="6" fillId="0" borderId="20" xfId="19" applyNumberFormat="1" applyBorder="1"/>
    <xf numFmtId="0" fontId="6" fillId="0" borderId="31" xfId="19" applyBorder="1" applyAlignment="1">
      <alignment horizontal="right"/>
    </xf>
    <xf numFmtId="0" fontId="6" fillId="0" borderId="19" xfId="19" applyBorder="1" applyAlignment="1">
      <alignment horizontal="right"/>
    </xf>
    <xf numFmtId="43" fontId="6" fillId="0" borderId="29" xfId="1" applyFill="1" applyBorder="1" applyAlignment="1">
      <alignment horizontal="right"/>
    </xf>
    <xf numFmtId="0" fontId="9" fillId="0" borderId="0" xfId="19" applyFont="1" applyAlignment="1">
      <alignment horizontal="center"/>
    </xf>
    <xf numFmtId="43" fontId="6" fillId="0" borderId="19" xfId="19" applyNumberFormat="1" applyBorder="1"/>
    <xf numFmtId="0" fontId="20" fillId="0" borderId="0" xfId="19" applyFont="1"/>
    <xf numFmtId="0" fontId="18" fillId="0" borderId="0" xfId="19" applyFont="1" applyAlignment="1">
      <alignment horizontal="left"/>
    </xf>
    <xf numFmtId="43" fontId="0" fillId="0" borderId="52" xfId="1" applyFont="1" applyFill="1" applyBorder="1"/>
    <xf numFmtId="0" fontId="6" fillId="0" borderId="72" xfId="19" applyBorder="1"/>
    <xf numFmtId="0" fontId="6" fillId="0" borderId="71" xfId="19" applyBorder="1"/>
    <xf numFmtId="0" fontId="6" fillId="0" borderId="70" xfId="19" applyBorder="1"/>
    <xf numFmtId="0" fontId="6" fillId="0" borderId="69" xfId="19" applyBorder="1"/>
    <xf numFmtId="0" fontId="41" fillId="0" borderId="0" xfId="19" applyFont="1"/>
    <xf numFmtId="0" fontId="13" fillId="0" borderId="0" xfId="19" applyFont="1" applyAlignment="1">
      <alignment horizontal="right"/>
    </xf>
    <xf numFmtId="49" fontId="13" fillId="0" borderId="0" xfId="19" applyNumberFormat="1" applyFont="1" applyAlignment="1">
      <alignment horizontal="center"/>
    </xf>
    <xf numFmtId="43" fontId="6" fillId="0" borderId="0" xfId="1" applyFill="1" applyBorder="1"/>
    <xf numFmtId="10" fontId="6" fillId="0" borderId="0" xfId="13" applyNumberFormat="1" applyFill="1" applyBorder="1"/>
    <xf numFmtId="0" fontId="16" fillId="0" borderId="0" xfId="19" applyFont="1" applyAlignment="1">
      <alignment horizontal="center" vertical="center" textRotation="180" wrapText="1"/>
    </xf>
    <xf numFmtId="49" fontId="6" fillId="0" borderId="3" xfId="19" applyNumberFormat="1" applyBorder="1" applyAlignment="1">
      <alignment horizontal="center"/>
    </xf>
    <xf numFmtId="49" fontId="6" fillId="0" borderId="18" xfId="19" applyNumberFormat="1" applyBorder="1" applyAlignment="1">
      <alignment horizontal="center"/>
    </xf>
    <xf numFmtId="0" fontId="13" fillId="0" borderId="0" xfId="19" applyFont="1" applyAlignment="1">
      <alignment horizontal="left"/>
    </xf>
    <xf numFmtId="49" fontId="6" fillId="0" borderId="23" xfId="19" applyNumberFormat="1" applyBorder="1" applyAlignment="1">
      <alignment horizontal="center"/>
    </xf>
    <xf numFmtId="0" fontId="20" fillId="0" borderId="11" xfId="19" applyFont="1" applyBorder="1" applyAlignment="1">
      <alignment horizontal="center"/>
    </xf>
    <xf numFmtId="49" fontId="13" fillId="0" borderId="0" xfId="19" applyNumberFormat="1" applyFont="1" applyAlignment="1">
      <alignment horizontal="left"/>
    </xf>
    <xf numFmtId="0" fontId="6" fillId="0" borderId="52" xfId="19" applyBorder="1"/>
    <xf numFmtId="0" fontId="6" fillId="0" borderId="23" xfId="19" applyBorder="1" applyAlignment="1">
      <alignment horizontal="right"/>
    </xf>
    <xf numFmtId="0" fontId="6" fillId="0" borderId="38" xfId="19" applyBorder="1"/>
    <xf numFmtId="0" fontId="6" fillId="0" borderId="3" xfId="19" applyBorder="1" applyAlignment="1">
      <alignment horizontal="right"/>
    </xf>
    <xf numFmtId="0" fontId="19" fillId="0" borderId="26" xfId="19" applyFont="1" applyBorder="1"/>
    <xf numFmtId="0" fontId="6" fillId="0" borderId="18" xfId="19" applyBorder="1" applyAlignment="1">
      <alignment horizontal="right"/>
    </xf>
    <xf numFmtId="0" fontId="6" fillId="0" borderId="26" xfId="19" applyBorder="1" applyAlignment="1">
      <alignment horizontal="right"/>
    </xf>
    <xf numFmtId="0" fontId="6" fillId="0" borderId="5" xfId="19" applyBorder="1"/>
    <xf numFmtId="0" fontId="19" fillId="0" borderId="5" xfId="19" applyFont="1" applyBorder="1"/>
    <xf numFmtId="43" fontId="0" fillId="0" borderId="30" xfId="1" applyFont="1" applyFill="1" applyBorder="1"/>
    <xf numFmtId="0" fontId="6" fillId="0" borderId="3" xfId="19" quotePrefix="1" applyBorder="1"/>
    <xf numFmtId="43" fontId="6" fillId="0" borderId="8" xfId="1" applyFill="1" applyBorder="1"/>
    <xf numFmtId="0" fontId="6" fillId="0" borderId="8" xfId="19" applyBorder="1" applyAlignment="1">
      <alignment horizontal="center"/>
    </xf>
    <xf numFmtId="0" fontId="0" fillId="2" borderId="3" xfId="0" applyFill="1" applyBorder="1" applyProtection="1">
      <protection locked="0"/>
    </xf>
    <xf numFmtId="0" fontId="6" fillId="2" borderId="3" xfId="0" applyFont="1" applyFill="1" applyBorder="1" applyProtection="1">
      <protection locked="0"/>
    </xf>
    <xf numFmtId="43" fontId="16" fillId="2" borderId="29" xfId="1" applyFont="1" applyFill="1" applyBorder="1" applyProtection="1">
      <protection locked="0"/>
    </xf>
    <xf numFmtId="0" fontId="0" fillId="2" borderId="18" xfId="0" applyFill="1" applyBorder="1" applyProtection="1">
      <protection locked="0"/>
    </xf>
    <xf numFmtId="0" fontId="0" fillId="2" borderId="19" xfId="0" applyFill="1" applyBorder="1" applyProtection="1">
      <protection locked="0"/>
    </xf>
    <xf numFmtId="43" fontId="0" fillId="2" borderId="33" xfId="1" applyFont="1" applyFill="1" applyBorder="1" applyProtection="1">
      <protection locked="0"/>
    </xf>
    <xf numFmtId="0" fontId="0" fillId="2" borderId="20" xfId="0" applyFill="1" applyBorder="1" applyProtection="1">
      <protection locked="0"/>
    </xf>
    <xf numFmtId="0" fontId="23" fillId="2" borderId="3" xfId="0" applyFont="1" applyFill="1" applyBorder="1" applyProtection="1">
      <protection locked="0"/>
    </xf>
    <xf numFmtId="43" fontId="0" fillId="0" borderId="17" xfId="1" applyFont="1" applyFill="1" applyBorder="1" applyProtection="1">
      <protection locked="0"/>
    </xf>
    <xf numFmtId="43" fontId="6" fillId="2" borderId="7" xfId="1" applyFont="1" applyFill="1" applyBorder="1" applyProtection="1">
      <protection locked="0"/>
    </xf>
    <xf numFmtId="0" fontId="46" fillId="2" borderId="3" xfId="0" applyFont="1" applyFill="1" applyBorder="1" applyProtection="1">
      <protection locked="0"/>
    </xf>
    <xf numFmtId="0" fontId="6" fillId="2" borderId="20" xfId="0" applyFont="1" applyFill="1" applyBorder="1" applyProtection="1">
      <protection locked="0"/>
    </xf>
    <xf numFmtId="43" fontId="0" fillId="2" borderId="3" xfId="1" applyFont="1" applyFill="1" applyBorder="1" applyProtection="1">
      <protection locked="0"/>
    </xf>
    <xf numFmtId="43" fontId="0" fillId="2" borderId="5" xfId="1" applyFont="1" applyFill="1" applyBorder="1" applyProtection="1">
      <protection locked="0"/>
    </xf>
    <xf numFmtId="43" fontId="0" fillId="2" borderId="26" xfId="1" applyFont="1" applyFill="1" applyBorder="1" applyProtection="1">
      <protection locked="0"/>
    </xf>
    <xf numFmtId="43" fontId="0" fillId="2" borderId="20" xfId="1" applyFont="1" applyFill="1" applyBorder="1" applyProtection="1">
      <protection locked="0"/>
    </xf>
    <xf numFmtId="43" fontId="0" fillId="2" borderId="29" xfId="1" applyFont="1" applyFill="1" applyBorder="1" applyProtection="1">
      <protection locked="0"/>
    </xf>
    <xf numFmtId="43" fontId="16" fillId="2" borderId="83" xfId="1" applyFont="1" applyFill="1" applyBorder="1" applyProtection="1">
      <protection locked="0"/>
    </xf>
    <xf numFmtId="43" fontId="16" fillId="2" borderId="36" xfId="1" applyFont="1" applyFill="1" applyBorder="1" applyProtection="1">
      <protection locked="0"/>
    </xf>
    <xf numFmtId="43" fontId="16" fillId="2" borderId="28" xfId="1" applyFont="1" applyFill="1" applyBorder="1" applyProtection="1">
      <protection locked="0"/>
    </xf>
    <xf numFmtId="43" fontId="16" fillId="2" borderId="53" xfId="1" applyFont="1" applyFill="1" applyBorder="1" applyProtection="1">
      <protection locked="0"/>
    </xf>
    <xf numFmtId="43" fontId="16" fillId="2" borderId="3" xfId="1" applyFont="1" applyFill="1" applyBorder="1" applyProtection="1">
      <protection locked="0"/>
    </xf>
    <xf numFmtId="43" fontId="16" fillId="2" borderId="18" xfId="1" applyFont="1" applyFill="1" applyBorder="1" applyProtection="1">
      <protection locked="0"/>
    </xf>
    <xf numFmtId="43" fontId="16" fillId="2" borderId="27" xfId="1" applyFont="1" applyFill="1" applyBorder="1" applyProtection="1">
      <protection locked="0"/>
    </xf>
    <xf numFmtId="0" fontId="0" fillId="2" borderId="28" xfId="0" applyFill="1" applyBorder="1" applyProtection="1">
      <protection locked="0"/>
    </xf>
    <xf numFmtId="43" fontId="0" fillId="2" borderId="19" xfId="1" applyFont="1" applyFill="1" applyBorder="1" applyProtection="1">
      <protection locked="0"/>
    </xf>
    <xf numFmtId="43" fontId="0" fillId="2" borderId="33" xfId="1" applyFont="1" applyFill="1" applyBorder="1" applyAlignment="1" applyProtection="1">
      <alignment horizontal="center"/>
      <protection locked="0"/>
    </xf>
    <xf numFmtId="0" fontId="0" fillId="2" borderId="29" xfId="0" applyFill="1" applyBorder="1" applyProtection="1">
      <protection locked="0"/>
    </xf>
    <xf numFmtId="43" fontId="0" fillId="2" borderId="38" xfId="1" applyFont="1" applyFill="1" applyBorder="1" applyProtection="1">
      <protection locked="0"/>
    </xf>
    <xf numFmtId="43" fontId="0" fillId="2" borderId="6" xfId="1" applyFont="1" applyFill="1" applyBorder="1" applyProtection="1">
      <protection locked="0"/>
    </xf>
    <xf numFmtId="43" fontId="6" fillId="2" borderId="19" xfId="1" applyFill="1" applyBorder="1" applyProtection="1">
      <protection locked="0"/>
    </xf>
    <xf numFmtId="43" fontId="6" fillId="2" borderId="33" xfId="1" applyFill="1" applyBorder="1" applyAlignment="1" applyProtection="1">
      <alignment horizontal="center"/>
      <protection locked="0"/>
    </xf>
    <xf numFmtId="43" fontId="6" fillId="2" borderId="20" xfId="1" applyFill="1" applyBorder="1" applyProtection="1">
      <protection locked="0"/>
    </xf>
    <xf numFmtId="43" fontId="6" fillId="2" borderId="7" xfId="1" applyFill="1" applyBorder="1" applyProtection="1">
      <protection locked="0"/>
    </xf>
    <xf numFmtId="43" fontId="6" fillId="2" borderId="17" xfId="1" applyFill="1" applyBorder="1" applyProtection="1">
      <protection locked="0"/>
    </xf>
    <xf numFmtId="43" fontId="6" fillId="2" borderId="38" xfId="1" applyFill="1" applyBorder="1" applyProtection="1">
      <protection locked="0"/>
    </xf>
    <xf numFmtId="43" fontId="6" fillId="2" borderId="6" xfId="1" applyFill="1" applyBorder="1" applyProtection="1">
      <protection locked="0"/>
    </xf>
    <xf numFmtId="43" fontId="6" fillId="2" borderId="33" xfId="1" applyFill="1" applyBorder="1" applyProtection="1">
      <protection locked="0"/>
    </xf>
    <xf numFmtId="0" fontId="0" fillId="2" borderId="19" xfId="0" applyFill="1" applyBorder="1" applyAlignment="1" applyProtection="1">
      <alignment horizontal="right"/>
      <protection locked="0"/>
    </xf>
    <xf numFmtId="43" fontId="6" fillId="2" borderId="31" xfId="1" applyFill="1" applyBorder="1" applyProtection="1">
      <protection locked="0"/>
    </xf>
    <xf numFmtId="43" fontId="6" fillId="2" borderId="3" xfId="1" applyFill="1" applyBorder="1" applyProtection="1">
      <protection locked="0"/>
    </xf>
    <xf numFmtId="43" fontId="0" fillId="2" borderId="19" xfId="1" applyFont="1" applyFill="1" applyBorder="1" applyAlignment="1" applyProtection="1">
      <protection locked="0"/>
    </xf>
    <xf numFmtId="14" fontId="0" fillId="2" borderId="7" xfId="0" applyNumberFormat="1" applyFill="1" applyBorder="1" applyAlignment="1" applyProtection="1">
      <alignment horizontal="center"/>
      <protection locked="0"/>
    </xf>
    <xf numFmtId="166" fontId="0" fillId="2" borderId="7" xfId="1" applyNumberFormat="1" applyFont="1" applyFill="1" applyBorder="1" applyAlignment="1" applyProtection="1">
      <alignment horizontal="center"/>
      <protection locked="0"/>
    </xf>
    <xf numFmtId="43" fontId="47" fillId="2" borderId="7" xfId="1" applyFont="1" applyFill="1" applyBorder="1" applyProtection="1">
      <protection locked="0"/>
    </xf>
    <xf numFmtId="166" fontId="0" fillId="2" borderId="17" xfId="0" applyNumberFormat="1" applyFill="1" applyBorder="1" applyAlignment="1" applyProtection="1">
      <alignment horizontal="center"/>
      <protection locked="0"/>
    </xf>
    <xf numFmtId="14" fontId="0" fillId="2" borderId="7" xfId="1" quotePrefix="1" applyNumberFormat="1" applyFont="1" applyFill="1" applyBorder="1" applyAlignment="1" applyProtection="1">
      <alignment horizontal="center"/>
      <protection locked="0"/>
    </xf>
    <xf numFmtId="43" fontId="0" fillId="2" borderId="25" xfId="1" applyFont="1" applyFill="1" applyBorder="1" applyProtection="1">
      <protection locked="0"/>
    </xf>
    <xf numFmtId="0" fontId="0" fillId="2" borderId="25" xfId="0" applyFill="1" applyBorder="1" applyProtection="1">
      <protection locked="0"/>
    </xf>
    <xf numFmtId="43" fontId="6" fillId="2" borderId="33" xfId="1" applyFill="1" applyBorder="1" applyAlignment="1" applyProtection="1">
      <protection locked="0"/>
    </xf>
    <xf numFmtId="0" fontId="0" fillId="2" borderId="33" xfId="0" applyFill="1" applyBorder="1" applyProtection="1">
      <protection locked="0"/>
    </xf>
    <xf numFmtId="10" fontId="6" fillId="2" borderId="33" xfId="13" applyNumberFormat="1" applyFill="1" applyBorder="1" applyAlignment="1" applyProtection="1">
      <protection locked="0"/>
    </xf>
    <xf numFmtId="0" fontId="0" fillId="2" borderId="47" xfId="0" applyFill="1" applyBorder="1" applyProtection="1">
      <protection locked="0"/>
    </xf>
    <xf numFmtId="0" fontId="0" fillId="2" borderId="7" xfId="0" applyFill="1" applyBorder="1" applyProtection="1">
      <protection locked="0"/>
    </xf>
    <xf numFmtId="10" fontId="6" fillId="2" borderId="7" xfId="13" applyNumberFormat="1" applyFill="1" applyBorder="1" applyProtection="1">
      <protection locked="0"/>
    </xf>
    <xf numFmtId="0" fontId="0" fillId="2" borderId="17" xfId="0" applyFill="1" applyBorder="1" applyProtection="1">
      <protection locked="0"/>
    </xf>
    <xf numFmtId="0" fontId="0" fillId="2" borderId="6" xfId="0" applyFill="1" applyBorder="1" applyProtection="1">
      <protection locked="0"/>
    </xf>
    <xf numFmtId="10" fontId="6" fillId="2" borderId="6" xfId="13" applyNumberFormat="1" applyFill="1" applyBorder="1" applyProtection="1">
      <protection locked="0"/>
    </xf>
    <xf numFmtId="43" fontId="6" fillId="2" borderId="25" xfId="1" applyFill="1" applyBorder="1" applyProtection="1">
      <protection locked="0"/>
    </xf>
    <xf numFmtId="0" fontId="0" fillId="2" borderId="50" xfId="0" applyFill="1" applyBorder="1" applyProtection="1">
      <protection locked="0"/>
    </xf>
    <xf numFmtId="43" fontId="6" fillId="2" borderId="28" xfId="1" applyFill="1" applyBorder="1" applyAlignment="1" applyProtection="1">
      <protection locked="0"/>
    </xf>
    <xf numFmtId="43" fontId="6" fillId="2" borderId="47" xfId="1" applyFill="1" applyBorder="1" applyAlignment="1" applyProtection="1">
      <protection locked="0"/>
    </xf>
    <xf numFmtId="43" fontId="6" fillId="2" borderId="29" xfId="1" applyFill="1" applyBorder="1" applyProtection="1">
      <protection locked="0"/>
    </xf>
    <xf numFmtId="43" fontId="6" fillId="2" borderId="53" xfId="1" applyFill="1" applyBorder="1" applyProtection="1">
      <protection locked="0"/>
    </xf>
    <xf numFmtId="43" fontId="6" fillId="2" borderId="81" xfId="1" applyFill="1" applyBorder="1" applyProtection="1">
      <protection locked="0"/>
    </xf>
    <xf numFmtId="43" fontId="6" fillId="2" borderId="50" xfId="1" applyFill="1" applyBorder="1" applyProtection="1">
      <protection locked="0"/>
    </xf>
    <xf numFmtId="43" fontId="16" fillId="2" borderId="6" xfId="1" applyFont="1" applyFill="1" applyBorder="1" applyProtection="1">
      <protection locked="0"/>
    </xf>
    <xf numFmtId="43" fontId="16" fillId="2" borderId="25" xfId="1" applyFont="1" applyFill="1" applyBorder="1" applyProtection="1">
      <protection locked="0"/>
    </xf>
    <xf numFmtId="43" fontId="0" fillId="2" borderId="18" xfId="1" applyFont="1" applyFill="1" applyBorder="1" applyProtection="1">
      <protection locked="0"/>
    </xf>
    <xf numFmtId="43" fontId="6" fillId="2" borderId="18" xfId="1" applyFill="1" applyBorder="1" applyProtection="1">
      <protection locked="0"/>
    </xf>
    <xf numFmtId="43" fontId="6" fillId="2" borderId="9" xfId="1" applyFill="1" applyBorder="1" applyProtection="1">
      <protection locked="0"/>
    </xf>
    <xf numFmtId="0" fontId="6" fillId="2" borderId="18" xfId="0" applyFont="1" applyFill="1" applyBorder="1" applyProtection="1">
      <protection locked="0"/>
    </xf>
    <xf numFmtId="49" fontId="44" fillId="2" borderId="3" xfId="0" applyNumberFormat="1" applyFont="1" applyFill="1" applyBorder="1" applyAlignment="1" applyProtection="1">
      <alignment horizontal="left"/>
      <protection locked="0"/>
    </xf>
    <xf numFmtId="0" fontId="44" fillId="2" borderId="3" xfId="0" applyFont="1" applyFill="1" applyBorder="1" applyProtection="1">
      <protection locked="0"/>
    </xf>
    <xf numFmtId="0" fontId="43" fillId="2" borderId="3" xfId="0" applyFont="1" applyFill="1" applyBorder="1" applyProtection="1">
      <protection locked="0"/>
    </xf>
    <xf numFmtId="43" fontId="0" fillId="2" borderId="24" xfId="1" applyFont="1" applyFill="1" applyBorder="1" applyProtection="1">
      <protection locked="0"/>
    </xf>
    <xf numFmtId="0" fontId="20" fillId="2" borderId="26" xfId="0" applyFont="1" applyFill="1" applyBorder="1" applyAlignment="1" applyProtection="1">
      <alignment horizontal="center"/>
      <protection locked="0"/>
    </xf>
    <xf numFmtId="0" fontId="6" fillId="2" borderId="3" xfId="19" applyFill="1" applyBorder="1"/>
    <xf numFmtId="0" fontId="6" fillId="2" borderId="3" xfId="19" applyFill="1" applyBorder="1" applyProtection="1">
      <protection locked="0"/>
    </xf>
    <xf numFmtId="0" fontId="6" fillId="2" borderId="0" xfId="19" applyFill="1" applyProtection="1">
      <protection locked="0"/>
    </xf>
    <xf numFmtId="43" fontId="6" fillId="2" borderId="4" xfId="1" applyFill="1" applyBorder="1" applyProtection="1">
      <protection locked="0"/>
    </xf>
    <xf numFmtId="43" fontId="6" fillId="2" borderId="0" xfId="1" applyFill="1" applyProtection="1">
      <protection locked="0"/>
    </xf>
    <xf numFmtId="0" fontId="6" fillId="2" borderId="20" xfId="19" applyFill="1" applyBorder="1" applyProtection="1">
      <protection locked="0"/>
    </xf>
    <xf numFmtId="43" fontId="6" fillId="2" borderId="27" xfId="1" applyFill="1" applyBorder="1" applyProtection="1">
      <protection locked="0"/>
    </xf>
    <xf numFmtId="43" fontId="6" fillId="2" borderId="82" xfId="1" applyFill="1" applyBorder="1" applyProtection="1">
      <protection locked="0"/>
    </xf>
    <xf numFmtId="43" fontId="6" fillId="2" borderId="26" xfId="1" applyFont="1" applyFill="1" applyBorder="1" applyAlignment="1" applyProtection="1">
      <protection locked="0"/>
    </xf>
    <xf numFmtId="43" fontId="6" fillId="2" borderId="81" xfId="1" applyFont="1" applyFill="1" applyBorder="1" applyAlignment="1" applyProtection="1">
      <protection locked="0"/>
    </xf>
    <xf numFmtId="43" fontId="6" fillId="2" borderId="7" xfId="1" applyFont="1" applyFill="1" applyBorder="1" applyAlignment="1" applyProtection="1">
      <protection locked="0"/>
    </xf>
    <xf numFmtId="43" fontId="6" fillId="2" borderId="25" xfId="1" applyFont="1" applyFill="1" applyBorder="1" applyAlignment="1" applyProtection="1">
      <protection locked="0"/>
    </xf>
    <xf numFmtId="43" fontId="0" fillId="2" borderId="0" xfId="1" applyFont="1" applyFill="1" applyProtection="1">
      <protection locked="0"/>
    </xf>
    <xf numFmtId="43" fontId="16" fillId="2" borderId="5" xfId="1" applyFont="1" applyFill="1" applyBorder="1" applyProtection="1">
      <protection locked="0"/>
    </xf>
    <xf numFmtId="43" fontId="0" fillId="2" borderId="4" xfId="1" applyFont="1" applyFill="1" applyBorder="1" applyProtection="1">
      <protection locked="0"/>
    </xf>
    <xf numFmtId="43" fontId="0" fillId="0" borderId="3" xfId="1" applyFont="1" applyFill="1" applyBorder="1" applyProtection="1"/>
    <xf numFmtId="43" fontId="0" fillId="2" borderId="27" xfId="1" applyFont="1" applyFill="1" applyBorder="1" applyProtection="1">
      <protection locked="0"/>
    </xf>
    <xf numFmtId="43" fontId="6" fillId="2" borderId="26" xfId="1" applyFont="1" applyFill="1" applyBorder="1" applyProtection="1">
      <protection locked="0"/>
    </xf>
    <xf numFmtId="0" fontId="6" fillId="2" borderId="26" xfId="0" applyFont="1" applyFill="1" applyBorder="1" applyProtection="1">
      <protection locked="0"/>
    </xf>
    <xf numFmtId="0" fontId="6" fillId="0" borderId="0" xfId="19" applyProtection="1">
      <protection locked="0"/>
    </xf>
    <xf numFmtId="0" fontId="6" fillId="2" borderId="26" xfId="19" applyFill="1" applyBorder="1" applyProtection="1">
      <protection locked="0"/>
    </xf>
    <xf numFmtId="43" fontId="6" fillId="0" borderId="26" xfId="19" applyNumberFormat="1" applyBorder="1"/>
    <xf numFmtId="43" fontId="6" fillId="2" borderId="24" xfId="1" applyFill="1" applyBorder="1" applyProtection="1">
      <protection locked="0"/>
    </xf>
    <xf numFmtId="43" fontId="6" fillId="2" borderId="20" xfId="1" applyFont="1" applyFill="1" applyBorder="1" applyProtection="1">
      <protection locked="0"/>
    </xf>
    <xf numFmtId="0" fontId="6" fillId="2" borderId="18" xfId="19" applyFill="1" applyBorder="1" applyProtection="1">
      <protection locked="0"/>
    </xf>
    <xf numFmtId="43" fontId="6" fillId="2" borderId="31" xfId="1" applyFont="1" applyFill="1" applyBorder="1" applyProtection="1">
      <protection locked="0"/>
    </xf>
    <xf numFmtId="0" fontId="6" fillId="2" borderId="19" xfId="19" applyFill="1" applyBorder="1" applyProtection="1">
      <protection locked="0"/>
    </xf>
    <xf numFmtId="14" fontId="6" fillId="2" borderId="33" xfId="19" applyNumberFormat="1" applyFill="1" applyBorder="1" applyAlignment="1" applyProtection="1">
      <alignment horizontal="center"/>
      <protection locked="0"/>
    </xf>
    <xf numFmtId="14" fontId="6" fillId="2" borderId="33" xfId="1" applyNumberFormat="1" applyFill="1" applyBorder="1" applyAlignment="1" applyProtection="1">
      <protection locked="0"/>
    </xf>
    <xf numFmtId="0" fontId="6" fillId="2" borderId="93" xfId="19" applyFill="1" applyBorder="1" applyProtection="1">
      <protection locked="0"/>
    </xf>
    <xf numFmtId="49" fontId="6" fillId="2" borderId="3" xfId="19" applyNumberFormat="1" applyFill="1" applyBorder="1" applyProtection="1">
      <protection locked="0"/>
    </xf>
    <xf numFmtId="14" fontId="6" fillId="2" borderId="7" xfId="19" applyNumberFormat="1" applyFill="1" applyBorder="1" applyAlignment="1" applyProtection="1">
      <alignment horizontal="center"/>
      <protection locked="0"/>
    </xf>
    <xf numFmtId="10" fontId="6" fillId="2" borderId="7" xfId="13" applyNumberFormat="1" applyFont="1" applyFill="1" applyBorder="1" applyAlignment="1" applyProtection="1">
      <protection locked="0"/>
    </xf>
    <xf numFmtId="43" fontId="6" fillId="2" borderId="7" xfId="1" applyFont="1" applyFill="1" applyBorder="1" applyAlignment="1" applyProtection="1">
      <alignment horizontal="center"/>
      <protection locked="0"/>
    </xf>
    <xf numFmtId="0" fontId="6" fillId="2" borderId="68" xfId="19" applyFill="1" applyBorder="1" applyProtection="1">
      <protection locked="0"/>
    </xf>
    <xf numFmtId="0" fontId="6" fillId="2" borderId="7" xfId="19" applyFill="1" applyBorder="1" applyProtection="1">
      <protection locked="0"/>
    </xf>
    <xf numFmtId="0" fontId="6" fillId="2" borderId="6" xfId="19" applyFill="1" applyBorder="1" applyProtection="1">
      <protection locked="0"/>
    </xf>
    <xf numFmtId="0" fontId="28" fillId="2" borderId="3" xfId="19" applyFont="1" applyFill="1" applyBorder="1" applyProtection="1">
      <protection locked="0"/>
    </xf>
    <xf numFmtId="0" fontId="28" fillId="2" borderId="20" xfId="19" applyFont="1" applyFill="1" applyBorder="1" applyProtection="1">
      <protection locked="0"/>
    </xf>
    <xf numFmtId="43" fontId="6" fillId="0" borderId="7" xfId="1" applyFill="1" applyBorder="1" applyProtection="1"/>
    <xf numFmtId="0" fontId="6" fillId="0" borderId="7" xfId="19" applyBorder="1"/>
    <xf numFmtId="10" fontId="6" fillId="0" borderId="7" xfId="13" applyNumberFormat="1" applyFill="1" applyBorder="1" applyProtection="1"/>
    <xf numFmtId="43" fontId="6" fillId="0" borderId="29" xfId="1" applyFill="1" applyBorder="1" applyProtection="1"/>
    <xf numFmtId="0" fontId="6" fillId="0" borderId="68" xfId="19" applyBorder="1"/>
    <xf numFmtId="49" fontId="6" fillId="0" borderId="3" xfId="19" applyNumberFormat="1" applyBorder="1" applyAlignment="1">
      <alignment horizontal="left"/>
    </xf>
    <xf numFmtId="0" fontId="6" fillId="2" borderId="33" xfId="19" applyFill="1" applyBorder="1" applyProtection="1">
      <protection locked="0"/>
    </xf>
    <xf numFmtId="0" fontId="6" fillId="2" borderId="47" xfId="19" applyFill="1" applyBorder="1" applyProtection="1">
      <protection locked="0"/>
    </xf>
    <xf numFmtId="0" fontId="6" fillId="2" borderId="17" xfId="19" applyFill="1" applyBorder="1" applyProtection="1">
      <protection locked="0"/>
    </xf>
    <xf numFmtId="43" fontId="6" fillId="2" borderId="17" xfId="1" applyFont="1" applyFill="1" applyBorder="1" applyProtection="1">
      <protection locked="0"/>
    </xf>
    <xf numFmtId="49" fontId="6" fillId="2" borderId="18" xfId="19" applyNumberFormat="1" applyFill="1" applyBorder="1" applyAlignment="1" applyProtection="1">
      <alignment horizontal="left"/>
      <protection locked="0"/>
    </xf>
    <xf numFmtId="49" fontId="6" fillId="2" borderId="3" xfId="19" applyNumberFormat="1" applyFill="1" applyBorder="1" applyAlignment="1" applyProtection="1">
      <alignment horizontal="left"/>
      <protection locked="0"/>
    </xf>
    <xf numFmtId="49" fontId="6" fillId="2" borderId="3" xfId="19" quotePrefix="1" applyNumberFormat="1" applyFill="1" applyBorder="1" applyAlignment="1" applyProtection="1">
      <alignment horizontal="left"/>
      <protection locked="0"/>
    </xf>
    <xf numFmtId="0" fontId="6" fillId="2" borderId="20" xfId="19" applyFill="1" applyBorder="1" applyAlignment="1" applyProtection="1">
      <alignment horizontal="right"/>
      <protection locked="0"/>
    </xf>
    <xf numFmtId="14" fontId="6" fillId="0" borderId="18" xfId="19" quotePrefix="1" applyNumberFormat="1" applyBorder="1"/>
    <xf numFmtId="0" fontId="6" fillId="0" borderId="0" xfId="0" applyFont="1" applyAlignment="1">
      <alignment horizontal="center"/>
    </xf>
    <xf numFmtId="0" fontId="62" fillId="0" borderId="0" xfId="0" applyFont="1"/>
    <xf numFmtId="0" fontId="63" fillId="0" borderId="0" xfId="0" applyFont="1"/>
    <xf numFmtId="0" fontId="6" fillId="2" borderId="26" xfId="0" applyFont="1" applyFill="1" applyBorder="1" applyAlignment="1" applyProtection="1">
      <alignment horizontal="center"/>
      <protection locked="0"/>
    </xf>
    <xf numFmtId="43" fontId="63" fillId="0" borderId="0" xfId="0" applyNumberFormat="1" applyFont="1"/>
    <xf numFmtId="0" fontId="6" fillId="2" borderId="19" xfId="0" applyFont="1" applyFill="1" applyBorder="1" applyProtection="1">
      <protection locked="0"/>
    </xf>
    <xf numFmtId="43" fontId="59" fillId="0" borderId="0" xfId="0" applyNumberFormat="1" applyFont="1"/>
    <xf numFmtId="0" fontId="6" fillId="2" borderId="3" xfId="0" applyFont="1" applyFill="1" applyBorder="1" applyAlignment="1" applyProtection="1">
      <alignment horizontal="center"/>
      <protection locked="0"/>
    </xf>
    <xf numFmtId="43" fontId="16" fillId="3" borderId="3" xfId="1" applyFont="1" applyFill="1" applyBorder="1" applyProtection="1">
      <protection locked="0"/>
    </xf>
    <xf numFmtId="43" fontId="16" fillId="2" borderId="3" xfId="1" applyFont="1" applyFill="1" applyBorder="1"/>
    <xf numFmtId="43" fontId="0" fillId="3" borderId="19" xfId="1" applyFont="1" applyFill="1" applyBorder="1"/>
    <xf numFmtId="43" fontId="0" fillId="3" borderId="20" xfId="1" applyFont="1" applyFill="1" applyBorder="1"/>
    <xf numFmtId="43" fontId="16" fillId="3" borderId="7" xfId="1" applyFont="1" applyFill="1" applyBorder="1" applyProtection="1">
      <protection locked="0"/>
    </xf>
    <xf numFmtId="0" fontId="0" fillId="0" borderId="7" xfId="0" applyBorder="1"/>
    <xf numFmtId="0" fontId="0" fillId="0" borderId="27" xfId="0" applyBorder="1"/>
    <xf numFmtId="0" fontId="0" fillId="3" borderId="3" xfId="0" applyFill="1" applyBorder="1"/>
    <xf numFmtId="0" fontId="0" fillId="0" borderId="4" xfId="0" applyBorder="1" applyAlignment="1">
      <alignment horizontal="center" vertical="center"/>
    </xf>
    <xf numFmtId="43" fontId="16" fillId="2" borderId="10" xfId="1" applyFont="1" applyFill="1" applyBorder="1" applyProtection="1">
      <protection locked="0"/>
    </xf>
    <xf numFmtId="43" fontId="16" fillId="2" borderId="15" xfId="1" applyFont="1" applyFill="1" applyBorder="1" applyProtection="1">
      <protection locked="0"/>
    </xf>
    <xf numFmtId="43" fontId="18" fillId="0" borderId="28" xfId="1" applyFont="1" applyBorder="1" applyAlignment="1">
      <alignment horizontal="center"/>
    </xf>
    <xf numFmtId="43" fontId="16" fillId="2" borderId="64" xfId="1" applyFont="1" applyFill="1" applyBorder="1" applyProtection="1">
      <protection locked="0"/>
    </xf>
    <xf numFmtId="43" fontId="16" fillId="3" borderId="7" xfId="1" applyFont="1" applyFill="1" applyBorder="1"/>
    <xf numFmtId="10" fontId="63" fillId="0" borderId="0" xfId="13" applyNumberFormat="1" applyFont="1"/>
    <xf numFmtId="0" fontId="6" fillId="3" borderId="3" xfId="0" applyFont="1" applyFill="1" applyBorder="1"/>
    <xf numFmtId="43" fontId="64" fillId="0" borderId="0" xfId="1" applyFont="1"/>
    <xf numFmtId="0" fontId="64" fillId="0" borderId="0" xfId="19" applyFont="1"/>
    <xf numFmtId="0" fontId="6" fillId="3" borderId="0" xfId="19" applyFill="1"/>
    <xf numFmtId="0" fontId="64" fillId="0" borderId="0" xfId="0" applyFont="1"/>
    <xf numFmtId="43" fontId="64" fillId="0" borderId="0" xfId="0" applyNumberFormat="1" applyFont="1"/>
    <xf numFmtId="0" fontId="0" fillId="0" borderId="64" xfId="0" applyBorder="1"/>
    <xf numFmtId="0" fontId="0" fillId="3" borderId="3" xfId="0" applyFill="1" applyBorder="1" applyProtection="1">
      <protection locked="0"/>
    </xf>
    <xf numFmtId="10" fontId="64" fillId="0" borderId="0" xfId="13" applyNumberFormat="1" applyFont="1"/>
    <xf numFmtId="43" fontId="16" fillId="0" borderId="94" xfId="1" applyFont="1" applyFill="1" applyBorder="1"/>
    <xf numFmtId="0" fontId="65" fillId="0" borderId="0" xfId="0" applyFont="1"/>
    <xf numFmtId="43" fontId="0" fillId="2" borderId="81" xfId="1" applyFont="1" applyFill="1" applyBorder="1" applyProtection="1">
      <protection locked="0"/>
    </xf>
    <xf numFmtId="0" fontId="0" fillId="0" borderId="6" xfId="0" applyBorder="1" applyAlignment="1">
      <alignment horizontal="center" vertical="center"/>
    </xf>
    <xf numFmtId="0" fontId="0" fillId="2" borderId="3"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43" fontId="6" fillId="2" borderId="3" xfId="1" applyFont="1" applyFill="1" applyBorder="1" applyProtection="1">
      <protection locked="0"/>
    </xf>
    <xf numFmtId="10" fontId="27" fillId="0" borderId="26" xfId="13" applyNumberFormat="1" applyFont="1" applyBorder="1"/>
    <xf numFmtId="10" fontId="0" fillId="0" borderId="26" xfId="13" applyNumberFormat="1" applyFont="1" applyBorder="1"/>
    <xf numFmtId="43" fontId="0" fillId="0" borderId="26" xfId="1" applyFont="1" applyFill="1" applyBorder="1" applyProtection="1">
      <protection locked="0"/>
    </xf>
    <xf numFmtId="0" fontId="6" fillId="0" borderId="26" xfId="0" applyFont="1" applyBorder="1"/>
    <xf numFmtId="43" fontId="0" fillId="0" borderId="33" xfId="1" applyFont="1" applyFill="1" applyBorder="1" applyProtection="1">
      <protection locked="0"/>
    </xf>
    <xf numFmtId="0" fontId="6" fillId="0" borderId="96" xfId="19" applyBorder="1"/>
    <xf numFmtId="0" fontId="65" fillId="0" borderId="0" xfId="19" applyFont="1"/>
    <xf numFmtId="0" fontId="0" fillId="0" borderId="0" xfId="0" applyAlignment="1">
      <alignment horizontal="center" vertical="center"/>
    </xf>
    <xf numFmtId="43" fontId="16" fillId="0" borderId="10" xfId="0" applyNumberFormat="1" applyFont="1" applyBorder="1" applyAlignment="1">
      <alignment horizontal="center"/>
    </xf>
    <xf numFmtId="43" fontId="6" fillId="2" borderId="7" xfId="1" applyFont="1" applyFill="1" applyBorder="1" applyAlignment="1" applyProtection="1">
      <alignment horizontal="right"/>
      <protection locked="0"/>
    </xf>
    <xf numFmtId="0" fontId="6" fillId="0" borderId="10" xfId="0" applyFont="1" applyBorder="1" applyAlignment="1">
      <alignment horizontal="center"/>
    </xf>
    <xf numFmtId="43" fontId="0" fillId="0" borderId="13" xfId="1" applyFont="1" applyFill="1" applyBorder="1" applyProtection="1">
      <protection locked="0"/>
    </xf>
    <xf numFmtId="0" fontId="0" fillId="0" borderId="18" xfId="0" applyBorder="1" applyProtection="1">
      <protection locked="0"/>
    </xf>
    <xf numFmtId="0" fontId="0" fillId="0" borderId="19" xfId="0" applyBorder="1" applyProtection="1">
      <protection locked="0"/>
    </xf>
    <xf numFmtId="0" fontId="67" fillId="0" borderId="0" xfId="0" applyFont="1"/>
    <xf numFmtId="0" fontId="6" fillId="2" borderId="41" xfId="0" applyFont="1" applyFill="1" applyBorder="1" applyProtection="1">
      <protection locked="0"/>
    </xf>
    <xf numFmtId="0" fontId="6" fillId="0" borderId="18" xfId="0" applyFont="1" applyBorder="1"/>
    <xf numFmtId="0" fontId="6" fillId="0" borderId="31" xfId="0" applyFont="1" applyBorder="1" applyAlignment="1">
      <alignment horizontal="right"/>
    </xf>
    <xf numFmtId="14" fontId="6" fillId="0" borderId="11" xfId="19" applyNumberFormat="1" applyBorder="1" applyAlignment="1">
      <alignment horizontal="center"/>
    </xf>
    <xf numFmtId="10" fontId="6" fillId="2" borderId="33" xfId="13" applyNumberFormat="1" applyFill="1" applyBorder="1" applyProtection="1">
      <protection locked="0"/>
    </xf>
    <xf numFmtId="43" fontId="6" fillId="2" borderId="28" xfId="1" applyFill="1" applyBorder="1" applyProtection="1">
      <protection locked="0"/>
    </xf>
    <xf numFmtId="43" fontId="6" fillId="2" borderId="47" xfId="1" applyFill="1" applyBorder="1" applyProtection="1">
      <protection locked="0"/>
    </xf>
    <xf numFmtId="43" fontId="6" fillId="0" borderId="29" xfId="1" applyBorder="1" applyAlignment="1">
      <alignment horizontal="right"/>
    </xf>
    <xf numFmtId="0" fontId="0" fillId="0" borderId="66" xfId="0" applyBorder="1"/>
    <xf numFmtId="0" fontId="0" fillId="0" borderId="99" xfId="0" applyBorder="1" applyAlignment="1">
      <alignment horizontal="center" vertical="center" wrapText="1"/>
    </xf>
    <xf numFmtId="0" fontId="0" fillId="2" borderId="47"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3" xfId="0" applyFill="1" applyBorder="1" applyAlignment="1" applyProtection="1">
      <alignment horizontal="left"/>
      <protection locked="0"/>
    </xf>
    <xf numFmtId="0" fontId="0" fillId="0" borderId="46" xfId="0" applyBorder="1" applyAlignment="1">
      <alignment horizontal="center"/>
    </xf>
    <xf numFmtId="0" fontId="0" fillId="2" borderId="20" xfId="0" applyFill="1" applyBorder="1" applyAlignment="1" applyProtection="1">
      <alignment horizontal="center"/>
      <protection locked="0"/>
    </xf>
    <xf numFmtId="0" fontId="0" fillId="2" borderId="3" xfId="0" applyFill="1" applyBorder="1" applyAlignment="1" applyProtection="1">
      <alignment horizontal="right"/>
      <protection locked="0"/>
    </xf>
    <xf numFmtId="0" fontId="6" fillId="3" borderId="4" xfId="19" applyFill="1" applyBorder="1" applyAlignment="1" applyProtection="1">
      <alignment horizontal="center"/>
      <protection locked="0"/>
    </xf>
    <xf numFmtId="0" fontId="6" fillId="2" borderId="62" xfId="0" applyFont="1" applyFill="1" applyBorder="1" applyAlignment="1" applyProtection="1">
      <alignment vertical="center"/>
      <protection locked="0"/>
    </xf>
    <xf numFmtId="0" fontId="20" fillId="2" borderId="62" xfId="0" applyFont="1" applyFill="1" applyBorder="1" applyProtection="1">
      <protection locked="0"/>
    </xf>
    <xf numFmtId="0" fontId="6" fillId="2" borderId="0" xfId="0" applyFont="1" applyFill="1" applyProtection="1">
      <protection locked="0"/>
    </xf>
    <xf numFmtId="43" fontId="16" fillId="0" borderId="0" xfId="0" applyNumberFormat="1" applyFont="1" applyAlignment="1">
      <alignment horizontal="center"/>
    </xf>
    <xf numFmtId="43" fontId="16" fillId="3" borderId="3" xfId="1" applyFont="1" applyFill="1" applyBorder="1" applyProtection="1"/>
    <xf numFmtId="0" fontId="6" fillId="3" borderId="3" xfId="0" applyFont="1" applyFill="1" applyBorder="1" applyAlignment="1">
      <alignment horizontal="center"/>
    </xf>
    <xf numFmtId="0" fontId="0" fillId="3" borderId="3" xfId="0" applyFill="1" applyBorder="1" applyAlignment="1">
      <alignment horizontal="center"/>
    </xf>
    <xf numFmtId="0" fontId="0" fillId="3" borderId="20" xfId="0" applyFill="1" applyBorder="1" applyAlignment="1">
      <alignment horizontal="center"/>
    </xf>
    <xf numFmtId="43" fontId="0" fillId="0" borderId="4" xfId="1" applyFont="1" applyFill="1" applyBorder="1" applyProtection="1"/>
    <xf numFmtId="43" fontId="0" fillId="0" borderId="0" xfId="1" applyFont="1" applyFill="1" applyProtection="1"/>
    <xf numFmtId="43" fontId="0" fillId="0" borderId="7" xfId="1" applyFont="1" applyFill="1" applyBorder="1" applyProtection="1"/>
    <xf numFmtId="43" fontId="0" fillId="0" borderId="17" xfId="1" applyFont="1" applyFill="1" applyBorder="1" applyProtection="1"/>
    <xf numFmtId="43" fontId="0" fillId="3" borderId="34" xfId="1" applyFont="1" applyFill="1" applyBorder="1" applyProtection="1"/>
    <xf numFmtId="43" fontId="0" fillId="3" borderId="35" xfId="1" applyFont="1" applyFill="1" applyBorder="1" applyProtection="1"/>
    <xf numFmtId="43" fontId="0" fillId="0" borderId="27" xfId="1" applyFont="1" applyFill="1" applyBorder="1" applyProtection="1"/>
    <xf numFmtId="43" fontId="0" fillId="0" borderId="26" xfId="1" applyFont="1" applyFill="1" applyBorder="1" applyProtection="1"/>
    <xf numFmtId="43" fontId="0" fillId="3" borderId="80" xfId="1" applyFont="1" applyFill="1" applyBorder="1" applyProtection="1"/>
    <xf numFmtId="43" fontId="0" fillId="0" borderId="29" xfId="1" applyFont="1" applyFill="1" applyBorder="1" applyProtection="1"/>
    <xf numFmtId="43" fontId="6" fillId="0" borderId="26" xfId="1" applyBorder="1" applyProtection="1"/>
    <xf numFmtId="43" fontId="6" fillId="0" borderId="26" xfId="1" applyFill="1" applyBorder="1" applyProtection="1"/>
    <xf numFmtId="43" fontId="0" fillId="0" borderId="22" xfId="1" applyFont="1" applyBorder="1" applyProtection="1"/>
    <xf numFmtId="43" fontId="0" fillId="0" borderId="48" xfId="1" applyFont="1" applyBorder="1" applyProtection="1"/>
    <xf numFmtId="43" fontId="20" fillId="0" borderId="47" xfId="1" applyFont="1" applyBorder="1" applyAlignment="1" applyProtection="1">
      <alignment horizontal="center"/>
    </xf>
    <xf numFmtId="43" fontId="20" fillId="0" borderId="17" xfId="1" applyFont="1" applyFill="1" applyBorder="1" applyAlignment="1" applyProtection="1">
      <alignment horizontal="center"/>
    </xf>
    <xf numFmtId="43" fontId="20" fillId="0" borderId="17" xfId="1" applyFont="1" applyBorder="1" applyAlignment="1" applyProtection="1">
      <alignment horizontal="center"/>
    </xf>
    <xf numFmtId="43" fontId="16" fillId="0" borderId="6" xfId="1" applyFont="1" applyFill="1" applyBorder="1" applyProtection="1"/>
    <xf numFmtId="43" fontId="18" fillId="0" borderId="7" xfId="1" applyFont="1" applyBorder="1" applyAlignment="1" applyProtection="1">
      <alignment horizontal="center"/>
    </xf>
    <xf numFmtId="43" fontId="16" fillId="0" borderId="7" xfId="1" applyFont="1" applyBorder="1" applyProtection="1"/>
    <xf numFmtId="43" fontId="16" fillId="3" borderId="7" xfId="1" applyFont="1" applyFill="1" applyBorder="1" applyProtection="1"/>
    <xf numFmtId="43" fontId="16" fillId="0" borderId="29" xfId="1" applyFont="1" applyBorder="1" applyProtection="1"/>
    <xf numFmtId="43" fontId="16" fillId="3" borderId="10" xfId="1" applyFont="1" applyFill="1" applyBorder="1" applyProtection="1"/>
    <xf numFmtId="43" fontId="16" fillId="3" borderId="15" xfId="1" applyFont="1" applyFill="1" applyBorder="1" applyProtection="1"/>
    <xf numFmtId="0" fontId="6" fillId="3" borderId="0" xfId="0" applyFont="1" applyFill="1"/>
    <xf numFmtId="43" fontId="16" fillId="3" borderId="29" xfId="1" applyFont="1" applyFill="1" applyBorder="1" applyProtection="1"/>
    <xf numFmtId="43" fontId="18" fillId="2" borderId="64" xfId="1" applyFont="1" applyFill="1" applyBorder="1" applyAlignment="1" applyProtection="1">
      <alignment horizontal="center"/>
      <protection locked="0"/>
    </xf>
    <xf numFmtId="43" fontId="18" fillId="2" borderId="7" xfId="1" applyFont="1" applyFill="1" applyBorder="1" applyAlignment="1" applyProtection="1">
      <alignment horizontal="center"/>
      <protection locked="0"/>
    </xf>
    <xf numFmtId="43" fontId="16" fillId="0" borderId="28" xfId="1" applyFont="1" applyFill="1" applyBorder="1" applyProtection="1"/>
    <xf numFmtId="43" fontId="0" fillId="0" borderId="47" xfId="1" applyFont="1" applyFill="1" applyBorder="1" applyProtection="1"/>
    <xf numFmtId="43" fontId="0" fillId="0" borderId="33" xfId="1" applyFont="1" applyFill="1" applyBorder="1" applyProtection="1"/>
    <xf numFmtId="43" fontId="0" fillId="0" borderId="13" xfId="1" applyFont="1" applyFill="1" applyBorder="1" applyProtection="1"/>
    <xf numFmtId="43" fontId="0" fillId="0" borderId="97" xfId="1" applyFont="1" applyFill="1" applyBorder="1" applyProtection="1"/>
    <xf numFmtId="43" fontId="0" fillId="0" borderId="98" xfId="1" applyFont="1" applyFill="1" applyBorder="1" applyProtection="1"/>
    <xf numFmtId="43" fontId="0" fillId="0" borderId="16" xfId="1" applyFont="1" applyFill="1" applyBorder="1" applyProtection="1"/>
    <xf numFmtId="43" fontId="0" fillId="0" borderId="14" xfId="1" applyFont="1" applyBorder="1" applyProtection="1"/>
    <xf numFmtId="43" fontId="16" fillId="0" borderId="7" xfId="1" applyFont="1" applyFill="1" applyBorder="1" applyProtection="1"/>
    <xf numFmtId="43" fontId="16" fillId="0" borderId="29" xfId="1" applyFont="1" applyFill="1" applyBorder="1" applyProtection="1"/>
    <xf numFmtId="43" fontId="6" fillId="0" borderId="20" xfId="1" applyFill="1" applyBorder="1"/>
    <xf numFmtId="43" fontId="16" fillId="0" borderId="10" xfId="1" applyFont="1" applyFill="1" applyBorder="1" applyProtection="1"/>
    <xf numFmtId="43" fontId="16" fillId="0" borderId="15" xfId="1" applyFont="1" applyFill="1" applyBorder="1" applyProtection="1"/>
    <xf numFmtId="43" fontId="16" fillId="0" borderId="3" xfId="1" applyFont="1" applyFill="1" applyBorder="1" applyProtection="1"/>
    <xf numFmtId="10" fontId="6" fillId="2" borderId="28" xfId="13" applyNumberFormat="1" applyFill="1" applyBorder="1" applyProtection="1">
      <protection locked="0"/>
    </xf>
    <xf numFmtId="10" fontId="6" fillId="2" borderId="29" xfId="13" applyNumberFormat="1" applyFill="1" applyBorder="1" applyProtection="1">
      <protection locked="0"/>
    </xf>
    <xf numFmtId="10" fontId="6" fillId="2" borderId="28" xfId="13" applyNumberFormat="1" applyFill="1" applyBorder="1" applyAlignment="1" applyProtection="1">
      <alignment horizontal="center"/>
      <protection locked="0"/>
    </xf>
    <xf numFmtId="43" fontId="6" fillId="0" borderId="19" xfId="1" applyFill="1" applyBorder="1" applyAlignment="1">
      <alignment horizontal="right"/>
    </xf>
    <xf numFmtId="43" fontId="6" fillId="0" borderId="20" xfId="1" applyFill="1" applyBorder="1" applyProtection="1">
      <protection locked="0"/>
    </xf>
    <xf numFmtId="0" fontId="6" fillId="0" borderId="15" xfId="0" applyFont="1" applyBorder="1" applyAlignment="1">
      <alignment horizontal="center"/>
    </xf>
    <xf numFmtId="43" fontId="0" fillId="2" borderId="28" xfId="1" applyFont="1" applyFill="1" applyBorder="1" applyProtection="1">
      <protection locked="0"/>
    </xf>
    <xf numFmtId="0" fontId="68" fillId="0" borderId="0" xfId="85" applyFont="1" applyAlignment="1">
      <alignment horizontal="left"/>
    </xf>
    <xf numFmtId="0" fontId="4" fillId="0" borderId="0" xfId="85"/>
    <xf numFmtId="0" fontId="70" fillId="0" borderId="0" xfId="85" applyFont="1" applyAlignment="1">
      <alignment horizontal="left" vertical="center" wrapText="1"/>
    </xf>
    <xf numFmtId="0" fontId="70" fillId="0" borderId="0" xfId="85" quotePrefix="1" applyFont="1" applyAlignment="1">
      <alignment horizontal="left" vertical="center" wrapText="1"/>
    </xf>
    <xf numFmtId="0" fontId="4" fillId="0" borderId="0" xfId="85" applyAlignment="1">
      <alignment wrapText="1"/>
    </xf>
    <xf numFmtId="0" fontId="70" fillId="0" borderId="0" xfId="85" applyFont="1" applyAlignment="1">
      <alignment vertical="center" wrapText="1"/>
    </xf>
    <xf numFmtId="43" fontId="0" fillId="2" borderId="64" xfId="1" applyFont="1" applyFill="1" applyBorder="1" applyAlignment="1" applyProtection="1">
      <protection locked="0"/>
    </xf>
    <xf numFmtId="43" fontId="0" fillId="0" borderId="6" xfId="1" applyFont="1" applyFill="1" applyBorder="1" applyAlignment="1"/>
    <xf numFmtId="49" fontId="60" fillId="0" borderId="0" xfId="0" applyNumberFormat="1" applyFont="1" applyAlignment="1">
      <alignment horizontal="left"/>
    </xf>
    <xf numFmtId="0" fontId="9" fillId="0" borderId="0" xfId="0" applyFont="1"/>
    <xf numFmtId="43" fontId="0" fillId="0" borderId="0" xfId="1" applyFont="1" applyFill="1" applyBorder="1" applyProtection="1">
      <protection locked="0"/>
    </xf>
    <xf numFmtId="43" fontId="16" fillId="0" borderId="81" xfId="1" applyFont="1" applyBorder="1"/>
    <xf numFmtId="43" fontId="0" fillId="0" borderId="6" xfId="1" applyFont="1" applyFill="1" applyBorder="1"/>
    <xf numFmtId="10" fontId="0" fillId="2" borderId="47" xfId="13" applyNumberFormat="1" applyFont="1" applyFill="1" applyBorder="1" applyProtection="1">
      <protection locked="0"/>
    </xf>
    <xf numFmtId="10" fontId="0" fillId="2" borderId="17" xfId="13" applyNumberFormat="1" applyFont="1" applyFill="1" applyBorder="1" applyProtection="1">
      <protection locked="0"/>
    </xf>
    <xf numFmtId="10" fontId="0" fillId="2" borderId="47" xfId="0" applyNumberFormat="1" applyFill="1" applyBorder="1" applyAlignment="1" applyProtection="1">
      <alignment horizontal="right"/>
      <protection locked="0"/>
    </xf>
    <xf numFmtId="10" fontId="0" fillId="2" borderId="17" xfId="0" applyNumberFormat="1" applyFill="1" applyBorder="1" applyAlignment="1" applyProtection="1">
      <alignment horizontal="right"/>
      <protection locked="0"/>
    </xf>
    <xf numFmtId="170" fontId="0" fillId="2" borderId="7" xfId="13" applyNumberFormat="1" applyFont="1" applyFill="1" applyBorder="1" applyProtection="1">
      <protection locked="0"/>
    </xf>
    <xf numFmtId="170" fontId="0" fillId="2" borderId="25" xfId="13" applyNumberFormat="1" applyFont="1" applyFill="1" applyBorder="1" applyProtection="1">
      <protection locked="0"/>
    </xf>
    <xf numFmtId="170" fontId="6" fillId="2" borderId="33" xfId="13" applyNumberFormat="1" applyFill="1" applyBorder="1" applyAlignment="1" applyProtection="1">
      <protection locked="0"/>
    </xf>
    <xf numFmtId="170" fontId="6" fillId="2" borderId="7" xfId="13" applyNumberFormat="1" applyFill="1" applyBorder="1" applyProtection="1">
      <protection locked="0"/>
    </xf>
    <xf numFmtId="170" fontId="6" fillId="2" borderId="6" xfId="13" applyNumberFormat="1" applyFill="1" applyBorder="1" applyProtection="1">
      <protection locked="0"/>
    </xf>
    <xf numFmtId="170" fontId="6" fillId="2" borderId="25" xfId="13" applyNumberFormat="1" applyFill="1" applyBorder="1" applyProtection="1">
      <protection locked="0"/>
    </xf>
    <xf numFmtId="43" fontId="0" fillId="0" borderId="53" xfId="1" applyFont="1" applyFill="1" applyBorder="1" applyAlignment="1" applyProtection="1"/>
    <xf numFmtId="0" fontId="6" fillId="0" borderId="26" xfId="0" applyFont="1" applyBorder="1" applyAlignment="1">
      <alignment horizontal="right"/>
    </xf>
    <xf numFmtId="43" fontId="20" fillId="2" borderId="7" xfId="1" applyFont="1" applyFill="1" applyBorder="1" applyAlignment="1" applyProtection="1">
      <alignment horizontal="center"/>
      <protection locked="0"/>
    </xf>
    <xf numFmtId="43" fontId="20" fillId="0" borderId="7" xfId="1" applyFont="1" applyBorder="1" applyAlignment="1" applyProtection="1">
      <alignment horizontal="center"/>
    </xf>
    <xf numFmtId="43" fontId="0" fillId="0" borderId="6" xfId="1" applyFont="1" applyFill="1" applyBorder="1" applyAlignment="1" applyProtection="1"/>
    <xf numFmtId="43" fontId="0" fillId="3" borderId="7" xfId="1" applyFont="1" applyFill="1" applyBorder="1" applyProtection="1"/>
    <xf numFmtId="43" fontId="0" fillId="2" borderId="27" xfId="1" applyFont="1" applyFill="1" applyBorder="1" applyAlignment="1" applyProtection="1">
      <protection locked="0"/>
    </xf>
    <xf numFmtId="43" fontId="20" fillId="0" borderId="3" xfId="1" applyFont="1" applyBorder="1" applyAlignment="1" applyProtection="1">
      <alignment horizontal="center"/>
    </xf>
    <xf numFmtId="43" fontId="20" fillId="0" borderId="32" xfId="1" applyFont="1" applyBorder="1" applyAlignment="1" applyProtection="1">
      <alignment horizontal="center"/>
    </xf>
    <xf numFmtId="43" fontId="0" fillId="0" borderId="12" xfId="1" applyFont="1" applyBorder="1" applyProtection="1"/>
    <xf numFmtId="43" fontId="0" fillId="0" borderId="26" xfId="1" applyFont="1" applyBorder="1" applyProtection="1"/>
    <xf numFmtId="43" fontId="20" fillId="0" borderId="29" xfId="1" applyFont="1" applyBorder="1" applyAlignment="1" applyProtection="1">
      <alignment horizontal="center"/>
    </xf>
    <xf numFmtId="43" fontId="0" fillId="0" borderId="29" xfId="1" applyFont="1" applyBorder="1" applyProtection="1"/>
    <xf numFmtId="43" fontId="0" fillId="0" borderId="30" xfId="1" applyFont="1" applyBorder="1" applyProtection="1"/>
    <xf numFmtId="0" fontId="20" fillId="0" borderId="26" xfId="0" applyFont="1" applyBorder="1" applyAlignment="1">
      <alignment horizontal="center"/>
    </xf>
    <xf numFmtId="0" fontId="0" fillId="0" borderId="21" xfId="0" applyBorder="1" applyAlignment="1">
      <alignment horizontal="center"/>
    </xf>
    <xf numFmtId="0" fontId="0" fillId="0" borderId="51" xfId="0" applyBorder="1" applyAlignment="1">
      <alignment horizontal="center"/>
    </xf>
    <xf numFmtId="43" fontId="20" fillId="0" borderId="29" xfId="1" applyFont="1" applyBorder="1" applyAlignment="1">
      <alignment horizontal="center"/>
    </xf>
    <xf numFmtId="43" fontId="20" fillId="0" borderId="20" xfId="1" applyFont="1" applyBorder="1" applyAlignment="1">
      <alignment horizontal="center"/>
    </xf>
    <xf numFmtId="43" fontId="20" fillId="0" borderId="38" xfId="1" applyFont="1" applyBorder="1" applyAlignment="1">
      <alignment horizontal="center"/>
    </xf>
    <xf numFmtId="43" fontId="6" fillId="0" borderId="20" xfId="1" applyBorder="1" applyAlignment="1">
      <alignment horizontal="right"/>
    </xf>
    <xf numFmtId="0" fontId="0" fillId="2" borderId="20" xfId="0" applyFill="1" applyBorder="1" applyAlignment="1" applyProtection="1">
      <alignment horizontal="left"/>
      <protection locked="0"/>
    </xf>
    <xf numFmtId="43" fontId="0" fillId="0" borderId="33" xfId="1" applyFont="1" applyBorder="1" applyProtection="1"/>
    <xf numFmtId="43" fontId="0" fillId="0" borderId="7" xfId="1" applyFont="1" applyBorder="1" applyProtection="1"/>
    <xf numFmtId="43" fontId="0" fillId="0" borderId="27" xfId="1" applyFont="1" applyBorder="1" applyProtection="1"/>
    <xf numFmtId="43" fontId="0" fillId="0" borderId="11" xfId="1" applyFont="1" applyBorder="1" applyProtection="1"/>
    <xf numFmtId="43" fontId="0" fillId="2" borderId="36" xfId="1" applyFont="1" applyFill="1" applyBorder="1" applyProtection="1">
      <protection locked="0"/>
    </xf>
    <xf numFmtId="0" fontId="55" fillId="0" borderId="0" xfId="0" applyFont="1"/>
    <xf numFmtId="0" fontId="6" fillId="0" borderId="20" xfId="0" applyFont="1" applyBorder="1"/>
    <xf numFmtId="43" fontId="6" fillId="0" borderId="7" xfId="1" applyFont="1" applyFill="1" applyBorder="1" applyProtection="1"/>
    <xf numFmtId="43" fontId="6" fillId="0" borderId="17" xfId="1" applyFont="1" applyFill="1" applyBorder="1" applyProtection="1"/>
    <xf numFmtId="0" fontId="6" fillId="0" borderId="19" xfId="0" applyFont="1" applyBorder="1"/>
    <xf numFmtId="43" fontId="16" fillId="2" borderId="33" xfId="1" applyFont="1" applyFill="1" applyBorder="1" applyProtection="1">
      <protection locked="0"/>
    </xf>
    <xf numFmtId="43" fontId="16" fillId="2" borderId="81" xfId="1" applyFont="1" applyFill="1" applyBorder="1" applyProtection="1">
      <protection locked="0"/>
    </xf>
    <xf numFmtId="0" fontId="20" fillId="0" borderId="29" xfId="0" applyFont="1" applyBorder="1" applyAlignment="1">
      <alignment horizontal="center"/>
    </xf>
    <xf numFmtId="0" fontId="20" fillId="0" borderId="53" xfId="0" applyFont="1" applyBorder="1" applyAlignment="1">
      <alignment horizontal="center"/>
    </xf>
    <xf numFmtId="0" fontId="20" fillId="0" borderId="64" xfId="0" applyFont="1" applyBorder="1" applyAlignment="1">
      <alignment horizontal="center"/>
    </xf>
    <xf numFmtId="43" fontId="0" fillId="0" borderId="6" xfId="1" applyFont="1" applyBorder="1" applyProtection="1"/>
    <xf numFmtId="0" fontId="0" fillId="0" borderId="37" xfId="0" applyBorder="1" applyAlignment="1">
      <alignment horizontal="center" vertical="center"/>
    </xf>
    <xf numFmtId="43" fontId="0" fillId="3" borderId="28" xfId="1" applyFont="1" applyFill="1" applyBorder="1" applyProtection="1"/>
    <xf numFmtId="43" fontId="20" fillId="0" borderId="18" xfId="1" applyFont="1" applyBorder="1" applyAlignment="1" applyProtection="1">
      <alignment horizontal="center"/>
    </xf>
    <xf numFmtId="43" fontId="20" fillId="0" borderId="20" xfId="1" applyFont="1" applyBorder="1" applyAlignment="1" applyProtection="1">
      <alignment horizontal="center"/>
    </xf>
    <xf numFmtId="0" fontId="0" fillId="0" borderId="38" xfId="0" applyBorder="1" applyAlignment="1">
      <alignment horizontal="right"/>
    </xf>
    <xf numFmtId="0" fontId="23" fillId="0" borderId="3" xfId="0" applyFont="1" applyBorder="1"/>
    <xf numFmtId="0" fontId="19" fillId="0" borderId="26" xfId="0" applyFont="1" applyBorder="1" applyAlignment="1">
      <alignment wrapText="1"/>
    </xf>
    <xf numFmtId="0" fontId="23" fillId="0" borderId="26" xfId="0" applyFont="1" applyBorder="1" applyAlignment="1">
      <alignment horizontal="left"/>
    </xf>
    <xf numFmtId="43" fontId="0" fillId="3" borderId="83" xfId="1" applyFont="1" applyFill="1" applyBorder="1" applyProtection="1"/>
    <xf numFmtId="43" fontId="6" fillId="0" borderId="8" xfId="1" applyBorder="1" applyProtection="1"/>
    <xf numFmtId="43" fontId="20" fillId="0" borderId="25" xfId="1" applyFont="1" applyBorder="1" applyAlignment="1" applyProtection="1">
      <alignment horizontal="center"/>
    </xf>
    <xf numFmtId="43" fontId="6" fillId="0" borderId="34" xfId="1" applyBorder="1" applyProtection="1"/>
    <xf numFmtId="43" fontId="0" fillId="0" borderId="83" xfId="1" applyFont="1" applyFill="1" applyBorder="1" applyProtection="1"/>
    <xf numFmtId="43" fontId="0" fillId="0" borderId="0" xfId="1" applyFont="1" applyBorder="1" applyProtection="1"/>
    <xf numFmtId="43" fontId="0" fillId="0" borderId="0" xfId="1" applyFont="1" applyProtection="1"/>
    <xf numFmtId="0" fontId="0" fillId="0" borderId="46" xfId="0" applyBorder="1"/>
    <xf numFmtId="43" fontId="6" fillId="3" borderId="17" xfId="1" applyFill="1" applyBorder="1" applyProtection="1"/>
    <xf numFmtId="43" fontId="6" fillId="0" borderId="48" xfId="1" applyBorder="1" applyProtection="1"/>
    <xf numFmtId="43" fontId="6" fillId="0" borderId="11" xfId="1" applyBorder="1" applyProtection="1"/>
    <xf numFmtId="43" fontId="0" fillId="2" borderId="31" xfId="1" applyFont="1" applyFill="1" applyBorder="1" applyProtection="1">
      <protection locked="0"/>
    </xf>
    <xf numFmtId="43" fontId="20" fillId="0" borderId="33" xfId="1" applyFont="1" applyBorder="1" applyAlignment="1" applyProtection="1">
      <alignment horizontal="center"/>
    </xf>
    <xf numFmtId="43" fontId="6" fillId="0" borderId="36" xfId="1" applyBorder="1" applyProtection="1"/>
    <xf numFmtId="14" fontId="0" fillId="0" borderId="7" xfId="0" applyNumberFormat="1" applyBorder="1" applyAlignment="1">
      <alignment horizontal="center"/>
    </xf>
    <xf numFmtId="166" fontId="0" fillId="0" borderId="7" xfId="1" applyNumberFormat="1" applyFont="1" applyFill="1" applyBorder="1" applyAlignment="1" applyProtection="1">
      <alignment horizontal="center"/>
    </xf>
    <xf numFmtId="169" fontId="0" fillId="0" borderId="7" xfId="13" applyNumberFormat="1" applyFont="1" applyFill="1" applyBorder="1" applyProtection="1"/>
    <xf numFmtId="43" fontId="47" fillId="0" borderId="7" xfId="1" applyFont="1" applyFill="1" applyBorder="1" applyProtection="1"/>
    <xf numFmtId="166" fontId="0" fillId="0" borderId="17" xfId="0" applyNumberFormat="1" applyBorder="1" applyAlignment="1">
      <alignment horizontal="center"/>
    </xf>
    <xf numFmtId="0" fontId="19" fillId="2" borderId="26" xfId="0" applyFont="1" applyFill="1" applyBorder="1" applyProtection="1">
      <protection locked="0"/>
    </xf>
    <xf numFmtId="43" fontId="23" fillId="2" borderId="7" xfId="1" applyFont="1" applyFill="1" applyBorder="1" applyAlignment="1" applyProtection="1">
      <alignment horizontal="center"/>
      <protection locked="0"/>
    </xf>
    <xf numFmtId="43" fontId="20" fillId="0" borderId="24" xfId="1" applyFont="1" applyBorder="1" applyAlignment="1" applyProtection="1">
      <alignment horizontal="center"/>
    </xf>
    <xf numFmtId="43" fontId="6" fillId="0" borderId="7" xfId="1" applyBorder="1" applyProtection="1"/>
    <xf numFmtId="43" fontId="6" fillId="0" borderId="25" xfId="1" applyBorder="1" applyProtection="1"/>
    <xf numFmtId="43" fontId="6" fillId="0" borderId="35" xfId="1" applyBorder="1" applyProtection="1"/>
    <xf numFmtId="43" fontId="0" fillId="0" borderId="11" xfId="1" applyFont="1" applyFill="1" applyBorder="1" applyProtection="1"/>
    <xf numFmtId="43" fontId="0" fillId="0" borderId="8" xfId="1" applyFont="1" applyBorder="1" applyProtection="1"/>
    <xf numFmtId="43" fontId="6" fillId="2" borderId="29" xfId="19" applyNumberFormat="1" applyFill="1" applyBorder="1" applyProtection="1">
      <protection locked="0"/>
    </xf>
    <xf numFmtId="43" fontId="6" fillId="2" borderId="7" xfId="19" applyNumberFormat="1" applyFill="1" applyBorder="1" applyProtection="1">
      <protection locked="0"/>
    </xf>
    <xf numFmtId="43" fontId="6" fillId="2" borderId="29" xfId="1" applyFont="1" applyFill="1" applyBorder="1" applyProtection="1">
      <protection locked="0"/>
    </xf>
    <xf numFmtId="43" fontId="6" fillId="0" borderId="4" xfId="1" applyFill="1" applyBorder="1" applyProtection="1"/>
    <xf numFmtId="43" fontId="6" fillId="0" borderId="0" xfId="1" applyFill="1" applyProtection="1"/>
    <xf numFmtId="0" fontId="6" fillId="0" borderId="15" xfId="19" applyBorder="1"/>
    <xf numFmtId="43" fontId="6" fillId="0" borderId="29" xfId="19" applyNumberFormat="1" applyBorder="1"/>
    <xf numFmtId="0" fontId="6" fillId="0" borderId="64" xfId="19" applyBorder="1"/>
    <xf numFmtId="43" fontId="6" fillId="0" borderId="3" xfId="1" applyFill="1" applyBorder="1" applyProtection="1"/>
    <xf numFmtId="43" fontId="6" fillId="3" borderId="3" xfId="1" applyFill="1" applyBorder="1" applyProtection="1"/>
    <xf numFmtId="43" fontId="6" fillId="0" borderId="64" xfId="19" applyNumberFormat="1" applyBorder="1"/>
    <xf numFmtId="43" fontId="6" fillId="0" borderId="36" xfId="1" applyFill="1" applyBorder="1" applyProtection="1"/>
    <xf numFmtId="43" fontId="6" fillId="0" borderId="83" xfId="1" applyFill="1" applyBorder="1" applyProtection="1"/>
    <xf numFmtId="43" fontId="6" fillId="0" borderId="11" xfId="1" applyFill="1" applyBorder="1" applyProtection="1"/>
    <xf numFmtId="43" fontId="6" fillId="0" borderId="12" xfId="1" applyFill="1" applyBorder="1" applyProtection="1"/>
    <xf numFmtId="0" fontId="39" fillId="0" borderId="0" xfId="19" applyFont="1" applyAlignment="1">
      <alignment horizontal="center"/>
    </xf>
    <xf numFmtId="0" fontId="6" fillId="3" borderId="3" xfId="19" applyFill="1" applyBorder="1"/>
    <xf numFmtId="43" fontId="6" fillId="3" borderId="7" xfId="1" applyFill="1" applyBorder="1" applyProtection="1"/>
    <xf numFmtId="43" fontId="6" fillId="0" borderId="3" xfId="1" applyBorder="1" applyProtection="1"/>
    <xf numFmtId="0" fontId="6" fillId="0" borderId="4" xfId="19" applyBorder="1"/>
    <xf numFmtId="0" fontId="6" fillId="0" borderId="10" xfId="19" applyBorder="1"/>
    <xf numFmtId="14" fontId="6" fillId="0" borderId="10" xfId="19" applyNumberFormat="1" applyBorder="1" applyAlignment="1">
      <alignment horizontal="center"/>
    </xf>
    <xf numFmtId="14" fontId="6" fillId="0" borderId="16" xfId="19" applyNumberFormat="1" applyBorder="1" applyAlignment="1">
      <alignment horizontal="center"/>
    </xf>
    <xf numFmtId="0" fontId="6" fillId="0" borderId="19" xfId="19" applyBorder="1"/>
    <xf numFmtId="43" fontId="6" fillId="3" borderId="50" xfId="1" applyFill="1" applyBorder="1" applyProtection="1"/>
    <xf numFmtId="43" fontId="6" fillId="0" borderId="14" xfId="1" applyBorder="1" applyProtection="1"/>
    <xf numFmtId="0" fontId="19" fillId="2" borderId="26" xfId="19" applyFont="1" applyFill="1" applyBorder="1" applyAlignment="1" applyProtection="1">
      <alignment horizontal="center"/>
      <protection locked="0"/>
    </xf>
    <xf numFmtId="0" fontId="25" fillId="0" borderId="0" xfId="19" applyFont="1"/>
    <xf numFmtId="0" fontId="14" fillId="0" borderId="0" xfId="19" applyFont="1"/>
    <xf numFmtId="43" fontId="20" fillId="0" borderId="33" xfId="1" applyFont="1" applyFill="1" applyBorder="1" applyAlignment="1" applyProtection="1">
      <alignment horizontal="center"/>
    </xf>
    <xf numFmtId="0" fontId="6" fillId="0" borderId="3" xfId="19" applyBorder="1" applyAlignment="1">
      <alignment horizontal="left"/>
    </xf>
    <xf numFmtId="43" fontId="6" fillId="3" borderId="7" xfId="1" applyFont="1" applyFill="1" applyBorder="1" applyProtection="1"/>
    <xf numFmtId="43" fontId="20" fillId="0" borderId="7" xfId="1" applyFont="1" applyFill="1" applyBorder="1" applyAlignment="1" applyProtection="1">
      <alignment horizontal="center"/>
    </xf>
    <xf numFmtId="43" fontId="0" fillId="0" borderId="64" xfId="1" applyFont="1" applyFill="1" applyBorder="1" applyProtection="1"/>
    <xf numFmtId="43" fontId="0" fillId="0" borderId="73" xfId="1" applyFont="1" applyFill="1" applyBorder="1" applyProtection="1"/>
    <xf numFmtId="43" fontId="0" fillId="0" borderId="6" xfId="1" applyFont="1" applyFill="1" applyBorder="1" applyProtection="1"/>
    <xf numFmtId="0" fontId="6" fillId="0" borderId="41" xfId="19" applyBorder="1"/>
    <xf numFmtId="43" fontId="6" fillId="3" borderId="27" xfId="1" applyFont="1" applyFill="1" applyBorder="1" applyProtection="1"/>
    <xf numFmtId="0" fontId="6" fillId="0" borderId="39" xfId="19" applyBorder="1"/>
    <xf numFmtId="43" fontId="0" fillId="0" borderId="39" xfId="1" applyFont="1" applyFill="1" applyBorder="1" applyProtection="1"/>
    <xf numFmtId="0" fontId="6" fillId="0" borderId="40" xfId="19" applyBorder="1"/>
    <xf numFmtId="43" fontId="0" fillId="0" borderId="74" xfId="1" applyFont="1" applyFill="1" applyBorder="1" applyProtection="1"/>
    <xf numFmtId="43" fontId="0" fillId="3" borderId="75" xfId="1" applyFont="1" applyFill="1" applyBorder="1" applyProtection="1"/>
    <xf numFmtId="43" fontId="0" fillId="0" borderId="60" xfId="1" applyFont="1" applyFill="1" applyBorder="1" applyProtection="1"/>
    <xf numFmtId="43" fontId="0" fillId="0" borderId="78" xfId="1" applyFont="1" applyFill="1" applyBorder="1" applyProtection="1"/>
    <xf numFmtId="43" fontId="0" fillId="0" borderId="0" xfId="1" applyFont="1" applyFill="1" applyBorder="1" applyProtection="1"/>
    <xf numFmtId="43" fontId="0" fillId="0" borderId="8" xfId="1" applyFont="1" applyFill="1" applyBorder="1" applyProtection="1"/>
    <xf numFmtId="0" fontId="6" fillId="0" borderId="60" xfId="19" applyBorder="1"/>
    <xf numFmtId="43" fontId="0" fillId="3" borderId="76" xfId="1" applyFont="1" applyFill="1" applyBorder="1" applyProtection="1"/>
    <xf numFmtId="43" fontId="0" fillId="0" borderId="77" xfId="1" applyFont="1" applyFill="1" applyBorder="1" applyProtection="1"/>
    <xf numFmtId="43" fontId="6" fillId="0" borderId="27" xfId="1" applyFont="1" applyFill="1" applyBorder="1" applyProtection="1"/>
    <xf numFmtId="0" fontId="6" fillId="0" borderId="3" xfId="19" applyBorder="1" applyAlignment="1">
      <alignment vertical="top"/>
    </xf>
    <xf numFmtId="0" fontId="6" fillId="2" borderId="3" xfId="19" applyFill="1" applyBorder="1" applyAlignment="1" applyProtection="1">
      <alignment horizontal="left"/>
      <protection locked="0"/>
    </xf>
    <xf numFmtId="43" fontId="6" fillId="2" borderId="3" xfId="19" applyNumberFormat="1" applyFill="1" applyBorder="1" applyProtection="1">
      <protection locked="0"/>
    </xf>
    <xf numFmtId="0" fontId="20" fillId="0" borderId="33" xfId="19" applyFont="1" applyBorder="1" applyAlignment="1">
      <alignment horizontal="center"/>
    </xf>
    <xf numFmtId="43" fontId="6" fillId="0" borderId="18" xfId="1" applyFill="1" applyBorder="1" applyProtection="1"/>
    <xf numFmtId="0" fontId="20" fillId="0" borderId="7" xfId="19" applyFont="1" applyBorder="1" applyAlignment="1">
      <alignment horizontal="center"/>
    </xf>
    <xf numFmtId="0" fontId="20" fillId="0" borderId="3" xfId="19" applyFont="1" applyBorder="1" applyAlignment="1">
      <alignment horizontal="center"/>
    </xf>
    <xf numFmtId="0" fontId="20" fillId="0" borderId="32" xfId="19" applyFont="1" applyBorder="1" applyAlignment="1">
      <alignment horizontal="center"/>
    </xf>
    <xf numFmtId="49" fontId="6" fillId="0" borderId="18" xfId="19" applyNumberFormat="1" applyBorder="1" applyAlignment="1">
      <alignment horizontal="left"/>
    </xf>
    <xf numFmtId="43" fontId="6" fillId="3" borderId="26" xfId="1" applyFill="1" applyBorder="1" applyProtection="1"/>
    <xf numFmtId="43" fontId="6" fillId="0" borderId="28" xfId="1" applyFill="1" applyBorder="1" applyProtection="1"/>
    <xf numFmtId="43" fontId="6" fillId="0" borderId="64" xfId="1" applyFill="1" applyBorder="1" applyProtection="1"/>
    <xf numFmtId="43" fontId="6" fillId="0" borderId="81" xfId="1" applyFill="1" applyBorder="1" applyProtection="1"/>
    <xf numFmtId="43" fontId="6" fillId="0" borderId="84" xfId="1" applyFill="1" applyBorder="1" applyProtection="1"/>
    <xf numFmtId="0" fontId="6" fillId="0" borderId="20" xfId="19" applyBorder="1" applyAlignment="1">
      <alignment horizontal="right"/>
    </xf>
    <xf numFmtId="0" fontId="19" fillId="0" borderId="3" xfId="19" applyFont="1" applyBorder="1" applyAlignment="1">
      <alignment wrapText="1"/>
    </xf>
    <xf numFmtId="43" fontId="0" fillId="3" borderId="26" xfId="1" applyFont="1" applyFill="1" applyBorder="1" applyProtection="1"/>
    <xf numFmtId="0" fontId="6" fillId="3" borderId="26" xfId="19" applyFill="1" applyBorder="1"/>
    <xf numFmtId="0" fontId="20" fillId="0" borderId="26" xfId="19" applyFont="1" applyBorder="1"/>
    <xf numFmtId="43" fontId="6" fillId="0" borderId="20" xfId="1" applyFill="1" applyBorder="1" applyAlignment="1" applyProtection="1">
      <alignment horizontal="right"/>
    </xf>
    <xf numFmtId="43" fontId="0" fillId="0" borderId="79" xfId="1" applyFont="1" applyFill="1" applyBorder="1" applyProtection="1"/>
    <xf numFmtId="43" fontId="0" fillId="0" borderId="20" xfId="1" applyFont="1" applyFill="1" applyBorder="1" applyProtection="1"/>
    <xf numFmtId="43" fontId="0" fillId="0" borderId="52" xfId="1" applyFont="1" applyFill="1" applyBorder="1" applyProtection="1"/>
    <xf numFmtId="0" fontId="6" fillId="0" borderId="51" xfId="19" applyBorder="1"/>
    <xf numFmtId="0" fontId="6" fillId="0" borderId="65" xfId="19" applyBorder="1"/>
    <xf numFmtId="0" fontId="9" fillId="0" borderId="0" xfId="19" applyFont="1" applyAlignment="1">
      <alignment horizontal="center" vertical="center" wrapText="1"/>
    </xf>
    <xf numFmtId="0" fontId="6" fillId="0" borderId="66" xfId="19" applyBorder="1" applyAlignment="1">
      <alignment horizontal="center"/>
    </xf>
    <xf numFmtId="0" fontId="6" fillId="0" borderId="0" xfId="19" applyAlignment="1">
      <alignment horizontal="center" vertical="center" wrapText="1"/>
    </xf>
    <xf numFmtId="0" fontId="20" fillId="0" borderId="12" xfId="19" applyFont="1" applyBorder="1" applyAlignment="1">
      <alignment horizontal="center"/>
    </xf>
    <xf numFmtId="0" fontId="6" fillId="0" borderId="67" xfId="19" applyBorder="1"/>
    <xf numFmtId="0" fontId="6" fillId="0" borderId="3" xfId="0" applyFont="1" applyBorder="1" applyAlignment="1">
      <alignment horizontal="center"/>
    </xf>
    <xf numFmtId="0" fontId="0" fillId="0" borderId="3" xfId="0" applyBorder="1" applyAlignment="1">
      <alignment horizontal="center"/>
    </xf>
    <xf numFmtId="0" fontId="0" fillId="0" borderId="20" xfId="0" applyBorder="1" applyAlignment="1">
      <alignment horizontal="center"/>
    </xf>
    <xf numFmtId="49" fontId="41" fillId="0" borderId="0" xfId="19" applyNumberFormat="1" applyFont="1" applyAlignment="1">
      <alignment horizontal="left"/>
    </xf>
    <xf numFmtId="0" fontId="41" fillId="0" borderId="0" xfId="19" applyFont="1" applyAlignment="1">
      <alignment horizontal="right"/>
    </xf>
    <xf numFmtId="0" fontId="41" fillId="0" borderId="0" xfId="19" applyFont="1" applyAlignment="1">
      <alignment horizontal="left"/>
    </xf>
    <xf numFmtId="0" fontId="6" fillId="0" borderId="51" xfId="19" applyBorder="1" applyAlignment="1">
      <alignment horizontal="center"/>
    </xf>
    <xf numFmtId="0" fontId="6" fillId="0" borderId="21" xfId="19" applyBorder="1" applyAlignment="1">
      <alignment horizontal="center"/>
    </xf>
    <xf numFmtId="14" fontId="6" fillId="0" borderId="15" xfId="19" applyNumberFormat="1" applyBorder="1" applyAlignment="1">
      <alignment horizontal="center"/>
    </xf>
    <xf numFmtId="0" fontId="6" fillId="0" borderId="12" xfId="19" applyBorder="1" applyAlignment="1">
      <alignment horizontal="center"/>
    </xf>
    <xf numFmtId="0" fontId="20" fillId="0" borderId="14" xfId="19" applyFont="1" applyBorder="1" applyAlignment="1">
      <alignment horizontal="center"/>
    </xf>
    <xf numFmtId="43" fontId="6" fillId="3" borderId="33" xfId="1" applyFill="1" applyBorder="1" applyAlignment="1" applyProtection="1"/>
    <xf numFmtId="49" fontId="6" fillId="3" borderId="18" xfId="19" applyNumberFormat="1" applyFill="1" applyBorder="1" applyAlignment="1">
      <alignment horizontal="left"/>
    </xf>
    <xf numFmtId="0" fontId="6" fillId="3" borderId="18" xfId="19" applyFill="1" applyBorder="1"/>
    <xf numFmtId="0" fontId="6" fillId="3" borderId="19" xfId="19" applyFill="1" applyBorder="1"/>
    <xf numFmtId="43" fontId="6" fillId="3" borderId="47" xfId="1" applyFill="1" applyBorder="1" applyAlignment="1" applyProtection="1"/>
    <xf numFmtId="0" fontId="19" fillId="2" borderId="26" xfId="19" applyFont="1" applyFill="1" applyBorder="1" applyProtection="1">
      <protection locked="0"/>
    </xf>
    <xf numFmtId="43" fontId="6" fillId="0" borderId="25" xfId="1" applyFill="1" applyBorder="1" applyProtection="1"/>
    <xf numFmtId="43" fontId="6" fillId="0" borderId="20" xfId="1" applyFont="1" applyFill="1" applyBorder="1" applyProtection="1"/>
    <xf numFmtId="43" fontId="6" fillId="0" borderId="29" xfId="1" applyFont="1" applyFill="1" applyBorder="1" applyProtection="1"/>
    <xf numFmtId="0" fontId="6" fillId="0" borderId="2" xfId="19" applyBorder="1" applyAlignment="1" applyProtection="1">
      <alignment horizontal="center" vertical="center"/>
      <protection locked="0"/>
    </xf>
    <xf numFmtId="0" fontId="6" fillId="0" borderId="1" xfId="19" applyBorder="1" applyAlignment="1" applyProtection="1">
      <alignment horizontal="center" vertical="center"/>
      <protection locked="0"/>
    </xf>
    <xf numFmtId="43" fontId="6" fillId="0" borderId="4" xfId="1" applyFill="1" applyBorder="1" applyProtection="1">
      <protection locked="0"/>
    </xf>
    <xf numFmtId="43" fontId="6" fillId="0" borderId="0" xfId="1" applyFill="1" applyProtection="1">
      <protection locked="0"/>
    </xf>
    <xf numFmtId="0" fontId="20" fillId="0" borderId="3" xfId="19" applyFont="1" applyBorder="1" applyProtection="1">
      <protection locked="0"/>
    </xf>
    <xf numFmtId="0" fontId="6" fillId="0" borderId="3" xfId="19" applyBorder="1" applyProtection="1">
      <protection locked="0"/>
    </xf>
    <xf numFmtId="43" fontId="6" fillId="0" borderId="7" xfId="1" applyFill="1" applyBorder="1" applyProtection="1">
      <protection locked="0"/>
    </xf>
    <xf numFmtId="43" fontId="6" fillId="0" borderId="3" xfId="1" applyFill="1" applyBorder="1" applyProtection="1">
      <protection locked="0"/>
    </xf>
    <xf numFmtId="43" fontId="16" fillId="0" borderId="36" xfId="1" applyFont="1" applyFill="1" applyBorder="1" applyProtection="1"/>
    <xf numFmtId="43" fontId="16" fillId="0" borderId="83" xfId="1" applyFont="1" applyFill="1" applyBorder="1" applyProtection="1"/>
    <xf numFmtId="43" fontId="16" fillId="0" borderId="11" xfId="1" applyFont="1" applyFill="1" applyBorder="1" applyProtection="1"/>
    <xf numFmtId="43" fontId="16" fillId="0" borderId="12" xfId="1" applyFont="1" applyFill="1" applyBorder="1" applyProtection="1"/>
    <xf numFmtId="43" fontId="20" fillId="0" borderId="3" xfId="1" applyFont="1" applyFill="1" applyBorder="1" applyAlignment="1" applyProtection="1">
      <alignment horizontal="center"/>
    </xf>
    <xf numFmtId="43" fontId="6" fillId="0" borderId="10" xfId="1" applyFill="1" applyBorder="1" applyProtection="1"/>
    <xf numFmtId="43" fontId="6" fillId="0" borderId="33" xfId="1" applyFill="1" applyBorder="1" applyProtection="1"/>
    <xf numFmtId="43" fontId="6" fillId="0" borderId="3" xfId="1" applyFont="1" applyFill="1" applyBorder="1" applyAlignment="1" applyProtection="1"/>
    <xf numFmtId="43" fontId="6" fillId="0" borderId="35" xfId="1" applyFill="1" applyBorder="1" applyProtection="1"/>
    <xf numFmtId="43" fontId="6" fillId="0" borderId="27" xfId="1" applyFill="1" applyBorder="1" applyProtection="1"/>
    <xf numFmtId="43" fontId="6" fillId="0" borderId="34" xfId="1" applyFill="1" applyBorder="1" applyProtection="1"/>
    <xf numFmtId="43" fontId="6" fillId="0" borderId="19" xfId="1" applyFont="1" applyFill="1" applyBorder="1" applyAlignment="1" applyProtection="1">
      <alignment horizontal="right"/>
    </xf>
    <xf numFmtId="43" fontId="20" fillId="0" borderId="18" xfId="1" applyFont="1" applyFill="1" applyBorder="1" applyAlignment="1" applyProtection="1">
      <alignment horizontal="center"/>
    </xf>
    <xf numFmtId="43" fontId="6" fillId="0" borderId="41" xfId="1" applyFont="1" applyFill="1" applyBorder="1" applyAlignment="1" applyProtection="1">
      <alignment horizontal="right"/>
    </xf>
    <xf numFmtId="43" fontId="6" fillId="0" borderId="41" xfId="1" applyFont="1" applyFill="1" applyBorder="1" applyAlignment="1" applyProtection="1"/>
    <xf numFmtId="43" fontId="6" fillId="0" borderId="26" xfId="1" applyFont="1" applyFill="1" applyBorder="1" applyAlignment="1" applyProtection="1"/>
    <xf numFmtId="43" fontId="6" fillId="0" borderId="53" xfId="1" applyFont="1" applyFill="1" applyBorder="1" applyAlignment="1" applyProtection="1"/>
    <xf numFmtId="43" fontId="6" fillId="0" borderId="15" xfId="1" applyFont="1" applyFill="1" applyBorder="1" applyAlignment="1" applyProtection="1"/>
    <xf numFmtId="43" fontId="6" fillId="0" borderId="74" xfId="1" applyFont="1" applyFill="1" applyBorder="1" applyAlignment="1" applyProtection="1"/>
    <xf numFmtId="43" fontId="6" fillId="0" borderId="20" xfId="1" applyFont="1" applyFill="1" applyBorder="1" applyAlignment="1" applyProtection="1"/>
    <xf numFmtId="43" fontId="6" fillId="0" borderId="5" xfId="1" applyFont="1" applyFill="1" applyBorder="1" applyAlignment="1" applyProtection="1"/>
    <xf numFmtId="43" fontId="6" fillId="0" borderId="35" xfId="1" applyFont="1" applyFill="1" applyBorder="1" applyAlignment="1" applyProtection="1"/>
    <xf numFmtId="43" fontId="20" fillId="0" borderId="33" xfId="19" applyNumberFormat="1" applyFont="1" applyBorder="1" applyAlignment="1">
      <alignment horizontal="center"/>
    </xf>
    <xf numFmtId="43" fontId="20" fillId="0" borderId="7" xfId="19" applyNumberFormat="1" applyFont="1" applyBorder="1" applyAlignment="1">
      <alignment horizontal="center"/>
    </xf>
    <xf numFmtId="43" fontId="20" fillId="0" borderId="3" xfId="19" applyNumberFormat="1" applyFont="1" applyBorder="1" applyAlignment="1">
      <alignment horizontal="center"/>
    </xf>
    <xf numFmtId="43" fontId="20" fillId="0" borderId="32" xfId="19" applyNumberFormat="1" applyFont="1" applyBorder="1" applyAlignment="1">
      <alignment horizontal="center"/>
    </xf>
    <xf numFmtId="0" fontId="20" fillId="3" borderId="26" xfId="19" applyFont="1" applyFill="1" applyBorder="1"/>
    <xf numFmtId="43" fontId="6" fillId="0" borderId="0" xfId="1" applyFill="1" applyBorder="1" applyProtection="1"/>
    <xf numFmtId="10" fontId="6" fillId="0" borderId="0" xfId="13" applyNumberFormat="1" applyFill="1" applyBorder="1" applyProtection="1"/>
    <xf numFmtId="43" fontId="6" fillId="3" borderId="11" xfId="1" applyFill="1" applyBorder="1" applyProtection="1"/>
    <xf numFmtId="43" fontId="6" fillId="0" borderId="12" xfId="1" applyBorder="1" applyProtection="1"/>
    <xf numFmtId="43" fontId="6" fillId="0" borderId="29" xfId="1" applyFill="1" applyBorder="1" applyAlignment="1" applyProtection="1">
      <alignment horizontal="right"/>
    </xf>
    <xf numFmtId="43" fontId="6" fillId="0" borderId="19" xfId="1" applyFill="1" applyBorder="1" applyAlignment="1" applyProtection="1">
      <alignment horizontal="right"/>
    </xf>
    <xf numFmtId="43" fontId="6" fillId="0" borderId="29" xfId="1" applyBorder="1" applyAlignment="1" applyProtection="1">
      <alignment horizontal="right"/>
    </xf>
    <xf numFmtId="43" fontId="6" fillId="0" borderId="20" xfId="1" applyBorder="1" applyAlignment="1" applyProtection="1">
      <alignment horizontal="right"/>
    </xf>
    <xf numFmtId="0" fontId="6" fillId="0" borderId="23" xfId="19" applyBorder="1" applyProtection="1">
      <protection locked="0"/>
    </xf>
    <xf numFmtId="43" fontId="6" fillId="0" borderId="8" xfId="1" applyFill="1" applyBorder="1" applyProtection="1"/>
    <xf numFmtId="43" fontId="0" fillId="0" borderId="30" xfId="1" applyFont="1" applyFill="1" applyBorder="1" applyProtection="1"/>
    <xf numFmtId="43" fontId="6" fillId="0" borderId="20" xfId="1" applyFill="1" applyBorder="1" applyProtection="1"/>
    <xf numFmtId="0" fontId="6" fillId="3" borderId="23" xfId="19" applyFill="1" applyBorder="1"/>
    <xf numFmtId="0" fontId="6" fillId="3" borderId="31" xfId="19" applyFill="1" applyBorder="1" applyAlignment="1">
      <alignment horizontal="right"/>
    </xf>
    <xf numFmtId="0" fontId="6" fillId="3" borderId="11" xfId="19" applyFill="1" applyBorder="1"/>
    <xf numFmtId="0" fontId="6" fillId="3" borderId="14" xfId="19" applyFill="1" applyBorder="1"/>
    <xf numFmtId="43" fontId="6" fillId="0" borderId="35" xfId="1" applyBorder="1" applyProtection="1">
      <protection locked="0"/>
    </xf>
    <xf numFmtId="43" fontId="6" fillId="0" borderId="20" xfId="1" applyBorder="1" applyProtection="1"/>
    <xf numFmtId="0" fontId="6" fillId="0" borderId="4" xfId="19" applyBorder="1" applyAlignment="1" applyProtection="1">
      <alignment horizontal="center"/>
      <protection locked="0"/>
    </xf>
    <xf numFmtId="43" fontId="6" fillId="0" borderId="33" xfId="1" applyFill="1" applyBorder="1" applyAlignment="1" applyProtection="1"/>
    <xf numFmtId="43" fontId="6" fillId="0" borderId="47" xfId="1" applyFill="1" applyBorder="1" applyAlignment="1" applyProtection="1"/>
    <xf numFmtId="43" fontId="6" fillId="0" borderId="47" xfId="1" applyFill="1" applyBorder="1" applyProtection="1"/>
    <xf numFmtId="49" fontId="6" fillId="2" borderId="3" xfId="19" applyNumberFormat="1" applyFill="1" applyBorder="1" applyAlignment="1">
      <alignment horizontal="left"/>
    </xf>
    <xf numFmtId="0" fontId="6" fillId="2" borderId="20" xfId="19" applyFill="1" applyBorder="1"/>
    <xf numFmtId="43" fontId="6" fillId="2" borderId="7" xfId="1" applyFill="1" applyBorder="1" applyProtection="1"/>
    <xf numFmtId="43" fontId="6" fillId="2" borderId="17" xfId="1" applyFill="1" applyBorder="1" applyProtection="1"/>
    <xf numFmtId="49" fontId="6" fillId="2" borderId="3" xfId="19" quotePrefix="1" applyNumberFormat="1" applyFill="1" applyBorder="1" applyAlignment="1">
      <alignment horizontal="left"/>
    </xf>
    <xf numFmtId="43" fontId="0" fillId="2" borderId="7" xfId="1" applyFont="1" applyFill="1" applyBorder="1" applyProtection="1"/>
    <xf numFmtId="43" fontId="6" fillId="2" borderId="6" xfId="1" applyFill="1" applyBorder="1" applyProtection="1"/>
    <xf numFmtId="0" fontId="6" fillId="2" borderId="20" xfId="19" applyFill="1" applyBorder="1" applyAlignment="1">
      <alignment horizontal="right"/>
    </xf>
    <xf numFmtId="43" fontId="6" fillId="2" borderId="25" xfId="1" applyFill="1" applyBorder="1" applyProtection="1"/>
    <xf numFmtId="43" fontId="6" fillId="2" borderId="50" xfId="1" applyFill="1" applyBorder="1" applyProtection="1"/>
    <xf numFmtId="43" fontId="6" fillId="0" borderId="0" xfId="1" applyProtection="1"/>
    <xf numFmtId="43" fontId="0" fillId="0" borderId="2" xfId="1" applyFont="1" applyBorder="1" applyAlignment="1">
      <alignment horizontal="center" vertical="center"/>
    </xf>
    <xf numFmtId="0" fontId="73" fillId="0" borderId="0" xfId="0" applyFont="1"/>
    <xf numFmtId="43" fontId="6" fillId="2" borderId="3" xfId="1" applyFont="1" applyFill="1" applyBorder="1" applyAlignment="1" applyProtection="1">
      <alignment horizontal="center"/>
      <protection locked="0"/>
    </xf>
    <xf numFmtId="0" fontId="0" fillId="0" borderId="8" xfId="0" applyBorder="1" applyProtection="1">
      <protection locked="0"/>
    </xf>
    <xf numFmtId="0" fontId="6" fillId="0" borderId="8" xfId="0" applyFont="1" applyBorder="1"/>
    <xf numFmtId="0" fontId="0" fillId="0" borderId="23" xfId="0" applyBorder="1" applyProtection="1">
      <protection locked="0"/>
    </xf>
    <xf numFmtId="0" fontId="0" fillId="2" borderId="25" xfId="0" applyFill="1" applyBorder="1" applyAlignment="1" applyProtection="1">
      <alignment horizontal="center"/>
      <protection locked="0"/>
    </xf>
    <xf numFmtId="43" fontId="0" fillId="2" borderId="25" xfId="1" applyFont="1" applyFill="1" applyBorder="1" applyAlignment="1" applyProtection="1">
      <alignment horizontal="center"/>
      <protection locked="0"/>
    </xf>
    <xf numFmtId="166" fontId="0" fillId="2" borderId="50" xfId="0" applyNumberFormat="1" applyFill="1" applyBorder="1" applyAlignment="1" applyProtection="1">
      <alignment horizontal="center"/>
      <protection locked="0"/>
    </xf>
    <xf numFmtId="14" fontId="6" fillId="2" borderId="33" xfId="19" applyNumberFormat="1" applyFill="1" applyBorder="1" applyProtection="1">
      <protection locked="0"/>
    </xf>
    <xf numFmtId="14" fontId="6" fillId="2" borderId="7" xfId="19" applyNumberFormat="1" applyFill="1" applyBorder="1" applyProtection="1">
      <protection locked="0"/>
    </xf>
    <xf numFmtId="49" fontId="6" fillId="0" borderId="23" xfId="19" applyNumberFormat="1" applyBorder="1" applyAlignment="1" applyProtection="1">
      <alignment horizontal="center"/>
      <protection locked="0"/>
    </xf>
    <xf numFmtId="0" fontId="6" fillId="3" borderId="23" xfId="19" applyFill="1" applyBorder="1" applyProtection="1">
      <protection locked="0"/>
    </xf>
    <xf numFmtId="0" fontId="6" fillId="3" borderId="31" xfId="19" applyFill="1" applyBorder="1" applyAlignment="1" applyProtection="1">
      <alignment horizontal="right"/>
      <protection locked="0"/>
    </xf>
    <xf numFmtId="49" fontId="6" fillId="2" borderId="20" xfId="19" applyNumberFormat="1" applyFill="1" applyBorder="1" applyAlignment="1" applyProtection="1">
      <alignment horizontal="left"/>
      <protection locked="0"/>
    </xf>
    <xf numFmtId="43" fontId="6" fillId="0" borderId="20" xfId="1" applyFill="1" applyBorder="1" applyAlignment="1" applyProtection="1">
      <alignment horizontal="center"/>
    </xf>
    <xf numFmtId="0" fontId="74" fillId="0" borderId="0" xfId="0" applyFont="1"/>
    <xf numFmtId="43" fontId="16" fillId="0" borderId="26" xfId="1" applyFont="1" applyFill="1" applyBorder="1" applyProtection="1"/>
    <xf numFmtId="43" fontId="16" fillId="2" borderId="26" xfId="1" applyFont="1" applyFill="1" applyBorder="1" applyProtection="1">
      <protection locked="0"/>
    </xf>
    <xf numFmtId="43" fontId="16" fillId="2" borderId="32" xfId="1" applyFont="1" applyFill="1" applyBorder="1" applyProtection="1">
      <protection locked="0"/>
    </xf>
    <xf numFmtId="43" fontId="16" fillId="0" borderId="27" xfId="1" applyFont="1" applyFill="1" applyBorder="1" applyProtection="1"/>
    <xf numFmtId="43" fontId="6" fillId="2" borderId="27" xfId="1" applyFont="1" applyFill="1" applyBorder="1" applyProtection="1">
      <protection locked="0"/>
    </xf>
    <xf numFmtId="0" fontId="75" fillId="0" borderId="0" xfId="85" applyFont="1" applyAlignment="1">
      <alignment horizontal="left"/>
    </xf>
    <xf numFmtId="14" fontId="6" fillId="2" borderId="33" xfId="1" applyNumberFormat="1" applyFill="1" applyBorder="1" applyProtection="1">
      <protection locked="0"/>
    </xf>
    <xf numFmtId="14" fontId="6" fillId="2" borderId="28" xfId="1" applyNumberFormat="1" applyFill="1" applyBorder="1" applyProtection="1">
      <protection locked="0"/>
    </xf>
    <xf numFmtId="14" fontId="6" fillId="2" borderId="93" xfId="19" applyNumberFormat="1" applyFill="1" applyBorder="1" applyProtection="1">
      <protection locked="0"/>
    </xf>
    <xf numFmtId="14" fontId="6" fillId="2" borderId="7" xfId="1" applyNumberFormat="1" applyFill="1" applyBorder="1" applyProtection="1">
      <protection locked="0"/>
    </xf>
    <xf numFmtId="43" fontId="6" fillId="2" borderId="7" xfId="1" applyFill="1" applyBorder="1" applyAlignment="1" applyProtection="1">
      <alignment horizontal="center"/>
      <protection locked="0"/>
    </xf>
    <xf numFmtId="14" fontId="6" fillId="2" borderId="68" xfId="19" applyNumberFormat="1" applyFill="1" applyBorder="1" applyProtection="1">
      <protection locked="0"/>
    </xf>
    <xf numFmtId="10" fontId="6" fillId="0" borderId="7" xfId="13" applyNumberFormat="1" applyBorder="1"/>
    <xf numFmtId="43" fontId="6" fillId="0" borderId="29" xfId="1" applyBorder="1"/>
    <xf numFmtId="10" fontId="6" fillId="0" borderId="0" xfId="13" applyNumberFormat="1"/>
    <xf numFmtId="43" fontId="6" fillId="0" borderId="0" xfId="1" applyProtection="1">
      <protection locked="0"/>
    </xf>
    <xf numFmtId="43" fontId="6" fillId="0" borderId="0" xfId="0" quotePrefix="1" applyNumberFormat="1" applyFont="1"/>
    <xf numFmtId="43" fontId="6" fillId="2" borderId="33" xfId="1" applyFont="1" applyFill="1" applyBorder="1" applyAlignment="1" applyProtection="1">
      <protection locked="0"/>
    </xf>
    <xf numFmtId="43" fontId="6" fillId="2" borderId="47" xfId="1" applyFont="1" applyFill="1" applyBorder="1" applyAlignment="1" applyProtection="1">
      <protection locked="0"/>
    </xf>
    <xf numFmtId="43" fontId="6" fillId="2" borderId="6" xfId="1" applyFont="1" applyFill="1" applyBorder="1" applyProtection="1">
      <protection locked="0"/>
    </xf>
    <xf numFmtId="43" fontId="6" fillId="2" borderId="25" xfId="1" applyFont="1" applyFill="1" applyBorder="1" applyProtection="1">
      <protection locked="0"/>
    </xf>
    <xf numFmtId="43" fontId="6" fillId="2" borderId="50" xfId="1" applyFont="1" applyFill="1" applyBorder="1" applyProtection="1">
      <protection locked="0"/>
    </xf>
    <xf numFmtId="43" fontId="6" fillId="0" borderId="33" xfId="1" applyFont="1" applyBorder="1" applyAlignment="1"/>
    <xf numFmtId="43" fontId="6" fillId="0" borderId="47" xfId="1" applyFont="1" applyBorder="1" applyAlignment="1"/>
    <xf numFmtId="43" fontId="6" fillId="0" borderId="11" xfId="1" applyFont="1" applyBorder="1"/>
    <xf numFmtId="43" fontId="6" fillId="0" borderId="14" xfId="1" applyFont="1" applyBorder="1"/>
    <xf numFmtId="43" fontId="6" fillId="0" borderId="25" xfId="1" applyFont="1" applyBorder="1"/>
    <xf numFmtId="43" fontId="6" fillId="0" borderId="50" xfId="1" applyFont="1" applyBorder="1"/>
    <xf numFmtId="10" fontId="0" fillId="0" borderId="26" xfId="13" applyNumberFormat="1" applyFont="1" applyBorder="1" applyAlignment="1">
      <alignment horizontal="center"/>
    </xf>
    <xf numFmtId="10" fontId="20" fillId="0" borderId="42" xfId="13" applyNumberFormat="1" applyFont="1" applyBorder="1" applyAlignment="1">
      <alignment horizontal="center"/>
    </xf>
    <xf numFmtId="43" fontId="20" fillId="0" borderId="42" xfId="1" applyFont="1" applyBorder="1" applyAlignment="1">
      <alignment horizontal="center"/>
    </xf>
    <xf numFmtId="43" fontId="6" fillId="0" borderId="24" xfId="1" applyFill="1" applyBorder="1" applyProtection="1"/>
    <xf numFmtId="43" fontId="0" fillId="2" borderId="47" xfId="1" applyFont="1" applyFill="1" applyBorder="1" applyAlignment="1" applyProtection="1">
      <alignment horizontal="center"/>
      <protection locked="0"/>
    </xf>
    <xf numFmtId="43" fontId="0" fillId="2" borderId="17" xfId="1" applyFont="1" applyFill="1" applyBorder="1" applyProtection="1">
      <protection locked="0"/>
    </xf>
    <xf numFmtId="43" fontId="6" fillId="2" borderId="47" xfId="1" applyFill="1" applyBorder="1" applyAlignment="1" applyProtection="1">
      <alignment horizontal="center"/>
      <protection locked="0"/>
    </xf>
    <xf numFmtId="43" fontId="6" fillId="0" borderId="34" xfId="1" applyFont="1" applyFill="1" applyBorder="1" applyProtection="1"/>
    <xf numFmtId="43" fontId="0" fillId="0" borderId="80" xfId="1" applyFont="1" applyFill="1" applyBorder="1" applyProtection="1"/>
    <xf numFmtId="0" fontId="55" fillId="2" borderId="18" xfId="0" applyFont="1" applyFill="1" applyBorder="1" applyProtection="1">
      <protection locked="0"/>
    </xf>
    <xf numFmtId="0" fontId="55" fillId="2" borderId="19" xfId="0" applyFont="1" applyFill="1" applyBorder="1" applyProtection="1">
      <protection locked="0"/>
    </xf>
    <xf numFmtId="0" fontId="16" fillId="2" borderId="3" xfId="0" applyFont="1" applyFill="1" applyBorder="1" applyProtection="1">
      <protection locked="0"/>
    </xf>
    <xf numFmtId="0" fontId="16" fillId="2" borderId="20" xfId="0" applyFont="1" applyFill="1" applyBorder="1" applyProtection="1">
      <protection locked="0"/>
    </xf>
    <xf numFmtId="49" fontId="0" fillId="2" borderId="3" xfId="0" applyNumberFormat="1" applyFill="1" applyBorder="1" applyProtection="1">
      <protection locked="0"/>
    </xf>
    <xf numFmtId="49" fontId="0" fillId="2" borderId="20" xfId="0" applyNumberFormat="1" applyFill="1" applyBorder="1" applyProtection="1">
      <protection locked="0"/>
    </xf>
    <xf numFmtId="49" fontId="6" fillId="2" borderId="18" xfId="0" applyNumberFormat="1" applyFont="1" applyFill="1" applyBorder="1" applyProtection="1">
      <protection locked="0"/>
    </xf>
    <xf numFmtId="49" fontId="0" fillId="2" borderId="18" xfId="0" applyNumberFormat="1" applyFill="1" applyBorder="1" applyProtection="1">
      <protection locked="0"/>
    </xf>
    <xf numFmtId="49" fontId="0" fillId="2" borderId="19" xfId="0" applyNumberFormat="1" applyFill="1" applyBorder="1" applyProtection="1">
      <protection locked="0"/>
    </xf>
    <xf numFmtId="49" fontId="6" fillId="0" borderId="102" xfId="0" quotePrefix="1" applyNumberFormat="1" applyFont="1" applyBorder="1" applyAlignment="1">
      <alignment horizontal="center"/>
    </xf>
    <xf numFmtId="0" fontId="6" fillId="0" borderId="57" xfId="0" applyFont="1" applyBorder="1"/>
    <xf numFmtId="0" fontId="6" fillId="0" borderId="59" xfId="0" applyFont="1" applyBorder="1"/>
    <xf numFmtId="0" fontId="20" fillId="4" borderId="105" xfId="0" applyFont="1" applyFill="1" applyBorder="1"/>
    <xf numFmtId="0" fontId="20" fillId="4" borderId="106" xfId="0" applyFont="1" applyFill="1" applyBorder="1"/>
    <xf numFmtId="0" fontId="6" fillId="0" borderId="54" xfId="0" applyFont="1" applyBorder="1"/>
    <xf numFmtId="49" fontId="20" fillId="4" borderId="105" xfId="0" quotePrefix="1" applyNumberFormat="1" applyFont="1" applyFill="1" applyBorder="1" applyAlignment="1">
      <alignment horizontal="center"/>
    </xf>
    <xf numFmtId="0" fontId="20" fillId="4" borderId="105" xfId="0" applyFont="1" applyFill="1" applyBorder="1" applyAlignment="1">
      <alignment horizontal="center"/>
    </xf>
    <xf numFmtId="14" fontId="6" fillId="0" borderId="110" xfId="0" applyNumberFormat="1" applyFont="1" applyBorder="1"/>
    <xf numFmtId="14" fontId="6" fillId="0" borderId="111" xfId="0" applyNumberFormat="1" applyFont="1" applyBorder="1"/>
    <xf numFmtId="1" fontId="6" fillId="0" borderId="111" xfId="0" applyNumberFormat="1" applyFont="1" applyBorder="1"/>
    <xf numFmtId="1" fontId="6" fillId="0" borderId="112" xfId="0" applyNumberFormat="1" applyFont="1" applyBorder="1"/>
    <xf numFmtId="0" fontId="0" fillId="0" borderId="113" xfId="0" applyBorder="1"/>
    <xf numFmtId="0" fontId="6" fillId="0" borderId="113" xfId="0" applyFont="1" applyBorder="1"/>
    <xf numFmtId="0" fontId="0" fillId="0" borderId="56" xfId="0" applyBorder="1" applyProtection="1">
      <protection locked="0"/>
    </xf>
    <xf numFmtId="0" fontId="6" fillId="0" borderId="114" xfId="0" applyFont="1" applyBorder="1"/>
    <xf numFmtId="0" fontId="0" fillId="0" borderId="115" xfId="0" applyBorder="1"/>
    <xf numFmtId="0" fontId="0" fillId="2" borderId="115" xfId="0" applyFill="1" applyBorder="1" applyProtection="1">
      <protection locked="0"/>
    </xf>
    <xf numFmtId="0" fontId="0" fillId="0" borderId="116" xfId="0" applyBorder="1"/>
    <xf numFmtId="0" fontId="0" fillId="2" borderId="117" xfId="0" applyFill="1" applyBorder="1" applyProtection="1">
      <protection locked="0"/>
    </xf>
    <xf numFmtId="0" fontId="0" fillId="2" borderId="116" xfId="0" applyFill="1" applyBorder="1" applyProtection="1">
      <protection locked="0"/>
    </xf>
    <xf numFmtId="14" fontId="0" fillId="2" borderId="119" xfId="0" applyNumberFormat="1" applyFill="1" applyBorder="1" applyProtection="1">
      <protection locked="0"/>
    </xf>
    <xf numFmtId="0" fontId="16" fillId="0" borderId="54" xfId="38" applyBorder="1"/>
    <xf numFmtId="0" fontId="6" fillId="0" borderId="117" xfId="0" applyFont="1" applyBorder="1"/>
    <xf numFmtId="0" fontId="16" fillId="0" borderId="57" xfId="38" applyBorder="1"/>
    <xf numFmtId="0" fontId="6" fillId="0" borderId="115" xfId="0" applyFont="1" applyBorder="1"/>
    <xf numFmtId="0" fontId="16" fillId="0" borderId="59" xfId="38" applyBorder="1"/>
    <xf numFmtId="0" fontId="0" fillId="2" borderId="120" xfId="0" applyFill="1" applyBorder="1" applyAlignment="1" applyProtection="1">
      <alignment horizontal="center"/>
      <protection locked="0"/>
    </xf>
    <xf numFmtId="0" fontId="0" fillId="0" borderId="107" xfId="0" applyBorder="1" applyAlignment="1">
      <alignment horizontal="center"/>
    </xf>
    <xf numFmtId="0" fontId="0" fillId="0" borderId="108" xfId="0" applyBorder="1" applyAlignment="1">
      <alignment horizontal="center"/>
    </xf>
    <xf numFmtId="37" fontId="0" fillId="0" borderId="117" xfId="0" applyNumberFormat="1" applyBorder="1" applyAlignment="1">
      <alignment horizontal="center"/>
    </xf>
    <xf numFmtId="37" fontId="0" fillId="2" borderId="115" xfId="0" applyNumberFormat="1" applyFill="1" applyBorder="1" applyAlignment="1" applyProtection="1">
      <alignment horizontal="center"/>
      <protection locked="0"/>
    </xf>
    <xf numFmtId="0" fontId="0" fillId="0" borderId="61" xfId="0" applyBorder="1" applyAlignment="1">
      <alignment horizontal="center"/>
    </xf>
    <xf numFmtId="0" fontId="78" fillId="0" borderId="105" xfId="0" applyFont="1" applyBorder="1"/>
    <xf numFmtId="0" fontId="0" fillId="2" borderId="122" xfId="0" applyFill="1" applyBorder="1" applyAlignment="1" applyProtection="1">
      <alignment horizontal="left"/>
      <protection locked="0"/>
    </xf>
    <xf numFmtId="0" fontId="6" fillId="2" borderId="123" xfId="0" applyFont="1" applyFill="1" applyBorder="1" applyAlignment="1" applyProtection="1">
      <alignment horizontal="left"/>
      <protection locked="0"/>
    </xf>
    <xf numFmtId="0" fontId="0" fillId="2" borderId="105" xfId="0" applyFill="1" applyBorder="1" applyAlignment="1" applyProtection="1">
      <alignment horizontal="center"/>
      <protection locked="0"/>
    </xf>
    <xf numFmtId="0" fontId="20" fillId="2" borderId="124" xfId="0" applyFont="1" applyFill="1" applyBorder="1" applyAlignment="1" applyProtection="1">
      <alignment horizontal="center"/>
      <protection locked="0"/>
    </xf>
    <xf numFmtId="0" fontId="20" fillId="2" borderId="125" xfId="0" applyFont="1" applyFill="1" applyBorder="1" applyAlignment="1" applyProtection="1">
      <alignment horizontal="center"/>
      <protection locked="0"/>
    </xf>
    <xf numFmtId="0" fontId="20" fillId="2" borderId="126" xfId="0" applyFont="1" applyFill="1" applyBorder="1" applyAlignment="1" applyProtection="1">
      <alignment horizontal="center"/>
      <protection locked="0"/>
    </xf>
    <xf numFmtId="0" fontId="16" fillId="0" borderId="0" xfId="0" applyFont="1" applyAlignment="1">
      <alignment horizontal="left"/>
    </xf>
    <xf numFmtId="14" fontId="16" fillId="0" borderId="0" xfId="0" applyNumberFormat="1" applyFont="1"/>
    <xf numFmtId="14" fontId="6" fillId="0" borderId="10" xfId="0" applyNumberFormat="1" applyFont="1" applyBorder="1" applyAlignment="1">
      <alignment horizontal="center"/>
    </xf>
    <xf numFmtId="0" fontId="0" fillId="0" borderId="106" xfId="0" applyBorder="1"/>
    <xf numFmtId="0" fontId="6" fillId="0" borderId="23" xfId="0" applyFont="1" applyBorder="1" applyAlignment="1">
      <alignment horizontal="left"/>
    </xf>
    <xf numFmtId="0" fontId="20" fillId="2" borderId="59" xfId="0" applyFont="1" applyFill="1" applyBorder="1" applyAlignment="1" applyProtection="1">
      <alignment horizontal="center"/>
      <protection locked="0"/>
    </xf>
    <xf numFmtId="0" fontId="6" fillId="0" borderId="8" xfId="0" applyFont="1" applyBorder="1" applyAlignment="1">
      <alignment horizontal="center"/>
    </xf>
    <xf numFmtId="0" fontId="6" fillId="2" borderId="121" xfId="0" applyFont="1" applyFill="1" applyBorder="1" applyAlignment="1" applyProtection="1">
      <alignment horizontal="left"/>
      <protection locked="0"/>
    </xf>
    <xf numFmtId="0" fontId="8" fillId="0" borderId="0" xfId="0" applyFont="1"/>
    <xf numFmtId="43" fontId="20" fillId="0" borderId="0" xfId="1" applyFont="1" applyFill="1" applyBorder="1" applyAlignment="1" applyProtection="1">
      <alignment horizontal="center"/>
    </xf>
    <xf numFmtId="43" fontId="6" fillId="0" borderId="0" xfId="1" applyFont="1" applyFill="1" applyBorder="1" applyAlignment="1" applyProtection="1">
      <alignment horizontal="center"/>
    </xf>
    <xf numFmtId="43" fontId="6" fillId="0" borderId="0" xfId="1" applyFont="1" applyFill="1" applyBorder="1" applyProtection="1"/>
    <xf numFmtId="0" fontId="20" fillId="0" borderId="103" xfId="0" applyFont="1" applyBorder="1"/>
    <xf numFmtId="0" fontId="6" fillId="2" borderId="127" xfId="0" applyFont="1" applyFill="1" applyBorder="1" applyProtection="1">
      <protection locked="0"/>
    </xf>
    <xf numFmtId="0" fontId="65" fillId="0" borderId="58" xfId="0" applyFont="1" applyBorder="1"/>
    <xf numFmtId="0" fontId="6" fillId="0" borderId="58" xfId="0" applyFont="1" applyBorder="1"/>
    <xf numFmtId="0" fontId="20" fillId="2" borderId="109" xfId="0" applyFont="1" applyFill="1" applyBorder="1" applyAlignment="1" applyProtection="1">
      <alignment horizontal="center"/>
      <protection locked="0"/>
    </xf>
    <xf numFmtId="0" fontId="20" fillId="4" borderId="109" xfId="0" applyFont="1" applyFill="1" applyBorder="1" applyAlignment="1">
      <alignment horizontal="center" wrapText="1"/>
    </xf>
    <xf numFmtId="14" fontId="0" fillId="0" borderId="115" xfId="0" applyNumberFormat="1" applyBorder="1" applyAlignment="1">
      <alignment horizontal="left"/>
    </xf>
    <xf numFmtId="14" fontId="0" fillId="0" borderId="116" xfId="0" applyNumberFormat="1" applyBorder="1" applyAlignment="1">
      <alignment horizontal="left"/>
    </xf>
    <xf numFmtId="14" fontId="0" fillId="0" borderId="113" xfId="0" applyNumberFormat="1" applyBorder="1" applyAlignment="1">
      <alignment horizontal="left"/>
    </xf>
    <xf numFmtId="14" fontId="0" fillId="0" borderId="109" xfId="0" applyNumberFormat="1" applyBorder="1" applyAlignment="1">
      <alignment horizontal="left"/>
    </xf>
    <xf numFmtId="0" fontId="28" fillId="0" borderId="57" xfId="0" applyFont="1" applyBorder="1" applyAlignment="1">
      <alignment horizontal="right"/>
    </xf>
    <xf numFmtId="0" fontId="28" fillId="0" borderId="59" xfId="0" applyFont="1" applyBorder="1" applyAlignment="1">
      <alignment horizontal="right"/>
    </xf>
    <xf numFmtId="0" fontId="11" fillId="0" borderId="58" xfId="0" applyFont="1" applyBorder="1"/>
    <xf numFmtId="0" fontId="28" fillId="0" borderId="58" xfId="0" applyFont="1" applyBorder="1"/>
    <xf numFmtId="0" fontId="11" fillId="0" borderId="61" xfId="0" applyFont="1" applyBorder="1"/>
    <xf numFmtId="0" fontId="6" fillId="0" borderId="54" xfId="0" applyFont="1" applyBorder="1" applyAlignment="1">
      <alignment horizontal="left"/>
    </xf>
    <xf numFmtId="0" fontId="11" fillId="0" borderId="56" xfId="0" applyFont="1" applyBorder="1"/>
    <xf numFmtId="0" fontId="16" fillId="2" borderId="128" xfId="0" applyFont="1" applyFill="1" applyBorder="1" applyProtection="1">
      <protection locked="0"/>
    </xf>
    <xf numFmtId="0" fontId="16" fillId="2" borderId="5" xfId="0" applyFont="1" applyFill="1" applyBorder="1" applyProtection="1">
      <protection locked="0"/>
    </xf>
    <xf numFmtId="0" fontId="16" fillId="2" borderId="129" xfId="0" applyFont="1" applyFill="1" applyBorder="1" applyProtection="1">
      <protection locked="0"/>
    </xf>
    <xf numFmtId="0" fontId="16" fillId="2" borderId="96" xfId="0" applyFont="1" applyFill="1" applyBorder="1" applyProtection="1">
      <protection locked="0"/>
    </xf>
    <xf numFmtId="0" fontId="16" fillId="2" borderId="0" xfId="0" applyFont="1" applyFill="1" applyProtection="1">
      <protection locked="0"/>
    </xf>
    <xf numFmtId="0" fontId="16" fillId="2" borderId="66" xfId="0" applyFont="1" applyFill="1" applyBorder="1" applyProtection="1">
      <protection locked="0"/>
    </xf>
    <xf numFmtId="0" fontId="16" fillId="2" borderId="96" xfId="0" applyFont="1" applyFill="1" applyBorder="1" applyAlignment="1" applyProtection="1">
      <alignment horizontal="center"/>
      <protection locked="0"/>
    </xf>
    <xf numFmtId="0" fontId="16" fillId="2" borderId="0" xfId="0" applyFont="1" applyFill="1" applyAlignment="1" applyProtection="1">
      <alignment horizontal="center"/>
      <protection locked="0"/>
    </xf>
    <xf numFmtId="0" fontId="16" fillId="2" borderId="0" xfId="0" applyFont="1" applyFill="1" applyAlignment="1" applyProtection="1">
      <alignment horizontal="left"/>
      <protection locked="0"/>
    </xf>
    <xf numFmtId="0" fontId="16" fillId="2" borderId="0" xfId="0" quotePrefix="1" applyFont="1" applyFill="1" applyAlignment="1" applyProtection="1">
      <alignment horizontal="center"/>
      <protection locked="0"/>
    </xf>
    <xf numFmtId="0" fontId="16" fillId="2" borderId="130" xfId="0" applyFont="1" applyFill="1" applyBorder="1" applyAlignment="1" applyProtection="1">
      <alignment horizontal="center"/>
      <protection locked="0"/>
    </xf>
    <xf numFmtId="0" fontId="16" fillId="2" borderId="26" xfId="0" applyFont="1" applyFill="1" applyBorder="1" applyAlignment="1" applyProtection="1">
      <alignment horizontal="center"/>
      <protection locked="0"/>
    </xf>
    <xf numFmtId="0" fontId="16" fillId="2" borderId="26" xfId="0" applyFont="1" applyFill="1" applyBorder="1" applyProtection="1">
      <protection locked="0"/>
    </xf>
    <xf numFmtId="0" fontId="16" fillId="2" borderId="88" xfId="0" applyFont="1" applyFill="1" applyBorder="1" applyProtection="1">
      <protection locked="0"/>
    </xf>
    <xf numFmtId="43" fontId="16" fillId="0" borderId="95" xfId="0" applyNumberFormat="1" applyFont="1" applyBorder="1"/>
    <xf numFmtId="43" fontId="81" fillId="2" borderId="7" xfId="1" applyFont="1" applyFill="1" applyBorder="1" applyProtection="1">
      <protection locked="0"/>
    </xf>
    <xf numFmtId="0" fontId="31" fillId="4" borderId="105" xfId="0" applyFont="1" applyFill="1" applyBorder="1" applyAlignment="1">
      <alignment horizontal="center"/>
    </xf>
    <xf numFmtId="43" fontId="16" fillId="0" borderId="82" xfId="1" applyFont="1" applyBorder="1" applyProtection="1"/>
    <xf numFmtId="0" fontId="82" fillId="0" borderId="0" xfId="0" applyFont="1"/>
    <xf numFmtId="49" fontId="82" fillId="0" borderId="0" xfId="0" applyNumberFormat="1" applyFont="1" applyAlignment="1">
      <alignment horizontal="left"/>
    </xf>
    <xf numFmtId="0" fontId="6" fillId="2" borderId="105" xfId="0" applyFont="1" applyFill="1" applyBorder="1" applyAlignment="1" applyProtection="1">
      <alignment horizontal="center"/>
      <protection locked="0"/>
    </xf>
    <xf numFmtId="0" fontId="6" fillId="0" borderId="57" xfId="0" applyFont="1" applyBorder="1" applyAlignment="1">
      <alignment horizontal="center"/>
    </xf>
    <xf numFmtId="0" fontId="79" fillId="6" borderId="105" xfId="0" applyFont="1" applyFill="1" applyBorder="1" applyAlignment="1">
      <alignment horizontal="center"/>
    </xf>
    <xf numFmtId="0" fontId="78" fillId="0" borderId="0" xfId="0" applyFont="1" applyProtection="1">
      <protection locked="0"/>
    </xf>
    <xf numFmtId="0" fontId="20" fillId="0" borderId="57" xfId="0" applyFont="1" applyBorder="1"/>
    <xf numFmtId="0" fontId="20" fillId="0" borderId="60" xfId="0" applyFont="1" applyBorder="1"/>
    <xf numFmtId="0" fontId="19" fillId="2" borderId="3" xfId="0" applyFont="1" applyFill="1" applyBorder="1" applyProtection="1">
      <protection locked="0"/>
    </xf>
    <xf numFmtId="0" fontId="68" fillId="0" borderId="54" xfId="85" applyFont="1" applyBorder="1" applyAlignment="1">
      <alignment horizontal="left" wrapText="1"/>
    </xf>
    <xf numFmtId="0" fontId="69" fillId="0" borderId="56" xfId="85" quotePrefix="1" applyFont="1" applyBorder="1" applyAlignment="1">
      <alignment horizontal="left" vertical="center"/>
    </xf>
    <xf numFmtId="0" fontId="4" fillId="0" borderId="57" xfId="85" applyBorder="1" applyAlignment="1">
      <alignment vertical="center" wrapText="1"/>
    </xf>
    <xf numFmtId="165" fontId="70" fillId="0" borderId="57" xfId="86" applyNumberFormat="1" applyFont="1" applyBorder="1" applyAlignment="1">
      <alignment horizontal="right" vertical="center" wrapText="1"/>
    </xf>
    <xf numFmtId="0" fontId="70" fillId="0" borderId="58" xfId="85" applyFont="1" applyBorder="1" applyAlignment="1">
      <alignment horizontal="left" vertical="center" wrapText="1"/>
    </xf>
    <xf numFmtId="0" fontId="70" fillId="0" borderId="58" xfId="85" applyFont="1" applyBorder="1" applyAlignment="1">
      <alignment vertical="center" wrapText="1"/>
    </xf>
    <xf numFmtId="0" fontId="70" fillId="0" borderId="58" xfId="85" applyFont="1" applyBorder="1" applyAlignment="1">
      <alignment horizontal="left" vertical="center"/>
    </xf>
    <xf numFmtId="0" fontId="84" fillId="0" borderId="58" xfId="85" applyFont="1" applyBorder="1" applyAlignment="1">
      <alignment horizontal="left" vertical="center"/>
    </xf>
    <xf numFmtId="0" fontId="76" fillId="0" borderId="57" xfId="85" applyFont="1" applyBorder="1" applyAlignment="1">
      <alignment horizontal="right" vertical="center"/>
    </xf>
    <xf numFmtId="0" fontId="76" fillId="0" borderId="58" xfId="85" applyFont="1" applyBorder="1" applyAlignment="1">
      <alignment wrapText="1"/>
    </xf>
    <xf numFmtId="0" fontId="4" fillId="0" borderId="57" xfId="85" applyBorder="1"/>
    <xf numFmtId="0" fontId="76" fillId="0" borderId="58" xfId="85" applyFont="1" applyBorder="1"/>
    <xf numFmtId="0" fontId="4" fillId="0" borderId="59" xfId="85" applyBorder="1"/>
    <xf numFmtId="0" fontId="77" fillId="0" borderId="61" xfId="67" applyFont="1" applyBorder="1"/>
    <xf numFmtId="0" fontId="3" fillId="0" borderId="58" xfId="85" applyFont="1" applyBorder="1" applyAlignment="1">
      <alignment wrapText="1"/>
    </xf>
    <xf numFmtId="0" fontId="3" fillId="0" borderId="61" xfId="85" applyFont="1" applyBorder="1" applyAlignment="1">
      <alignment wrapText="1"/>
    </xf>
    <xf numFmtId="0" fontId="26" fillId="7" borderId="105" xfId="85" applyFont="1" applyFill="1" applyBorder="1"/>
    <xf numFmtId="0" fontId="2" fillId="0" borderId="58" xfId="85" applyFont="1" applyBorder="1" applyAlignment="1">
      <alignment wrapText="1"/>
    </xf>
    <xf numFmtId="0" fontId="2" fillId="0" borderId="57" xfId="85" applyFont="1" applyBorder="1"/>
    <xf numFmtId="0" fontId="88" fillId="0" borderId="58" xfId="85" applyFont="1" applyBorder="1" applyAlignment="1">
      <alignment wrapText="1"/>
    </xf>
    <xf numFmtId="0" fontId="6" fillId="2" borderId="122" xfId="0" applyFont="1" applyFill="1" applyBorder="1" applyAlignment="1" applyProtection="1">
      <alignment horizontal="left"/>
      <protection locked="0"/>
    </xf>
    <xf numFmtId="14" fontId="0" fillId="2" borderId="26" xfId="0" applyNumberFormat="1" applyFill="1" applyBorder="1" applyProtection="1">
      <protection locked="0"/>
    </xf>
    <xf numFmtId="49" fontId="6" fillId="2" borderId="3" xfId="0" applyNumberFormat="1" applyFont="1" applyFill="1" applyBorder="1" applyProtection="1">
      <protection locked="0"/>
    </xf>
    <xf numFmtId="49" fontId="6" fillId="2" borderId="3" xfId="0" quotePrefix="1" applyNumberFormat="1" applyFont="1" applyFill="1" applyBorder="1" applyProtection="1">
      <protection locked="0"/>
    </xf>
    <xf numFmtId="16" fontId="6" fillId="2" borderId="26" xfId="0" quotePrefix="1" applyNumberFormat="1" applyFont="1" applyFill="1" applyBorder="1" applyProtection="1">
      <protection locked="0"/>
    </xf>
    <xf numFmtId="0" fontId="6" fillId="2" borderId="118" xfId="0" applyFont="1" applyFill="1" applyBorder="1" applyProtection="1">
      <protection locked="0"/>
    </xf>
    <xf numFmtId="0" fontId="6" fillId="2" borderId="92" xfId="0" applyFont="1" applyFill="1" applyBorder="1" applyProtection="1">
      <protection locked="0"/>
    </xf>
    <xf numFmtId="0" fontId="6" fillId="2" borderId="117" xfId="0" applyFont="1" applyFill="1" applyBorder="1" applyProtection="1">
      <protection locked="0"/>
    </xf>
    <xf numFmtId="0" fontId="87" fillId="7" borderId="94" xfId="85" applyFont="1" applyFill="1" applyBorder="1" applyAlignment="1">
      <alignment horizontal="center"/>
    </xf>
    <xf numFmtId="0" fontId="87" fillId="7" borderId="131" xfId="85" applyFont="1" applyFill="1" applyBorder="1" applyAlignment="1">
      <alignment horizontal="center"/>
    </xf>
    <xf numFmtId="0" fontId="26" fillId="0" borderId="0" xfId="0" applyFont="1" applyAlignment="1">
      <alignment horizontal="center"/>
    </xf>
    <xf numFmtId="0" fontId="15" fillId="0" borderId="0" xfId="0" applyFont="1" applyAlignment="1">
      <alignment horizontal="center"/>
    </xf>
    <xf numFmtId="0" fontId="9" fillId="0" borderId="0" xfId="0" applyFont="1" applyAlignment="1">
      <alignment horizontal="center"/>
    </xf>
    <xf numFmtId="49" fontId="20" fillId="0" borderId="0" xfId="0" applyNumberFormat="1" applyFont="1" applyAlignment="1">
      <alignment horizontal="center"/>
    </xf>
    <xf numFmtId="0" fontId="20" fillId="4" borderId="103" xfId="0" applyFont="1" applyFill="1" applyBorder="1" applyAlignment="1">
      <alignment horizontal="center"/>
    </xf>
    <xf numFmtId="0" fontId="20" fillId="4" borderId="78" xfId="0" applyFont="1" applyFill="1" applyBorder="1" applyAlignment="1">
      <alignment horizontal="center"/>
    </xf>
    <xf numFmtId="0" fontId="20" fillId="4" borderId="104" xfId="0" applyFont="1" applyFill="1" applyBorder="1" applyAlignment="1">
      <alignment horizontal="center"/>
    </xf>
    <xf numFmtId="0" fontId="27" fillId="4" borderId="103" xfId="0" applyFont="1" applyFill="1" applyBorder="1" applyAlignment="1">
      <alignment horizontal="center"/>
    </xf>
    <xf numFmtId="0" fontId="27" fillId="4" borderId="78" xfId="0" applyFont="1" applyFill="1" applyBorder="1" applyAlignment="1">
      <alignment horizontal="center"/>
    </xf>
    <xf numFmtId="0" fontId="27" fillId="4" borderId="104" xfId="0" applyFont="1" applyFill="1" applyBorder="1" applyAlignment="1">
      <alignment horizontal="center"/>
    </xf>
    <xf numFmtId="0" fontId="30" fillId="5" borderId="103" xfId="0" applyFont="1" applyFill="1" applyBorder="1" applyAlignment="1">
      <alignment horizontal="center"/>
    </xf>
    <xf numFmtId="0" fontId="30" fillId="5" borderId="78" xfId="0" applyFont="1" applyFill="1" applyBorder="1" applyAlignment="1">
      <alignment horizontal="center"/>
    </xf>
    <xf numFmtId="0" fontId="30" fillId="5" borderId="104" xfId="0" applyFont="1" applyFill="1" applyBorder="1" applyAlignment="1">
      <alignment horizontal="center"/>
    </xf>
    <xf numFmtId="0" fontId="28" fillId="0" borderId="57" xfId="0" applyFont="1" applyBorder="1" applyAlignment="1">
      <alignment horizontal="left" wrapText="1"/>
    </xf>
    <xf numFmtId="0" fontId="28" fillId="0" borderId="0" xfId="0" applyFont="1" applyAlignment="1">
      <alignment horizontal="left" wrapText="1"/>
    </xf>
    <xf numFmtId="0" fontId="13" fillId="2" borderId="26" xfId="0" applyFont="1" applyFill="1" applyBorder="1" applyAlignment="1" applyProtection="1">
      <alignment horizontal="left"/>
      <protection locked="0"/>
    </xf>
    <xf numFmtId="0" fontId="6" fillId="0" borderId="26" xfId="0" applyFont="1" applyBorder="1" applyAlignment="1">
      <alignment horizontal="left"/>
    </xf>
    <xf numFmtId="0" fontId="0" fillId="0" borderId="3" xfId="0" applyBorder="1" applyAlignment="1">
      <alignment horizontal="center"/>
    </xf>
    <xf numFmtId="0" fontId="0" fillId="0" borderId="62" xfId="0" applyBorder="1" applyAlignment="1">
      <alignment horizontal="center" vertical="center"/>
    </xf>
    <xf numFmtId="0" fontId="18" fillId="0" borderId="26" xfId="0" applyFont="1" applyBorder="1" applyAlignment="1">
      <alignment horizontal="center"/>
    </xf>
    <xf numFmtId="0" fontId="20" fillId="0" borderId="26" xfId="0" applyFont="1" applyBorder="1" applyAlignment="1">
      <alignment horizontal="center"/>
    </xf>
    <xf numFmtId="0" fontId="6" fillId="2" borderId="62" xfId="0" applyFont="1" applyFill="1" applyBorder="1" applyAlignment="1" applyProtection="1">
      <alignment horizontal="center" vertical="center"/>
      <protection locked="0"/>
    </xf>
    <xf numFmtId="0" fontId="0" fillId="2" borderId="62" xfId="0" applyFill="1" applyBorder="1" applyAlignment="1" applyProtection="1">
      <alignment horizontal="center" vertical="center"/>
      <protection locked="0"/>
    </xf>
    <xf numFmtId="0" fontId="13" fillId="2" borderId="26" xfId="0" applyFont="1" applyFill="1" applyBorder="1" applyAlignment="1" applyProtection="1">
      <alignment horizontal="center"/>
      <protection locked="0"/>
    </xf>
    <xf numFmtId="0" fontId="44" fillId="2" borderId="26" xfId="0" applyFont="1" applyFill="1" applyBorder="1" applyAlignment="1" applyProtection="1">
      <alignment horizontal="center"/>
      <protection locked="0"/>
    </xf>
    <xf numFmtId="0" fontId="6" fillId="2" borderId="3" xfId="0" applyFont="1" applyFill="1" applyBorder="1" applyAlignment="1" applyProtection="1">
      <alignment horizontal="center"/>
      <protection locked="0"/>
    </xf>
    <xf numFmtId="0" fontId="0" fillId="2" borderId="3" xfId="0" applyFill="1" applyBorder="1" applyAlignment="1" applyProtection="1">
      <alignment horizontal="center"/>
      <protection locked="0"/>
    </xf>
    <xf numFmtId="0" fontId="18" fillId="0" borderId="0" xfId="0" applyFont="1" applyAlignment="1">
      <alignment horizontal="center"/>
    </xf>
    <xf numFmtId="0" fontId="20" fillId="0" borderId="0" xfId="0" applyFont="1" applyAlignment="1">
      <alignment horizontal="center"/>
    </xf>
    <xf numFmtId="14" fontId="20" fillId="0" borderId="0" xfId="0" applyNumberFormat="1" applyFont="1" applyAlignment="1">
      <alignment horizontal="center"/>
    </xf>
    <xf numFmtId="37" fontId="0" fillId="0" borderId="26" xfId="0" applyNumberFormat="1" applyBorder="1" applyAlignment="1">
      <alignment horizontal="center"/>
    </xf>
    <xf numFmtId="0" fontId="0" fillId="0" borderId="26" xfId="0" applyBorder="1" applyAlignment="1">
      <alignment horizontal="center"/>
    </xf>
    <xf numFmtId="49" fontId="6" fillId="0" borderId="3" xfId="0" applyNumberFormat="1" applyFont="1" applyBorder="1" applyAlignment="1">
      <alignment horizontal="center"/>
    </xf>
    <xf numFmtId="165" fontId="0" fillId="0" borderId="3" xfId="1" applyNumberFormat="1" applyFont="1" applyFill="1" applyBorder="1" applyAlignment="1">
      <alignment horizontal="center"/>
    </xf>
    <xf numFmtId="0" fontId="0" fillId="2" borderId="26" xfId="0" applyFill="1" applyBorder="1" applyAlignment="1" applyProtection="1">
      <alignment horizontal="center"/>
      <protection locked="0"/>
    </xf>
    <xf numFmtId="0" fontId="19" fillId="0" borderId="5" xfId="0" applyFont="1" applyBorder="1" applyAlignment="1">
      <alignment horizontal="center"/>
    </xf>
    <xf numFmtId="0" fontId="6" fillId="2" borderId="26" xfId="0" applyFont="1" applyFill="1" applyBorder="1" applyAlignment="1" applyProtection="1">
      <alignment horizontal="center"/>
      <protection locked="0"/>
    </xf>
    <xf numFmtId="0" fontId="19" fillId="0" borderId="0" xfId="0" applyFont="1" applyAlignment="1">
      <alignment horizontal="center"/>
    </xf>
    <xf numFmtId="0" fontId="27" fillId="0" borderId="0" xfId="0" applyFont="1" applyAlignment="1">
      <alignment horizontal="center"/>
    </xf>
    <xf numFmtId="14" fontId="6" fillId="2" borderId="3" xfId="0" applyNumberFormat="1" applyFont="1" applyFill="1" applyBorder="1" applyAlignment="1" applyProtection="1">
      <alignment horizontal="center"/>
      <protection locked="0"/>
    </xf>
    <xf numFmtId="0" fontId="0" fillId="0" borderId="26" xfId="0" applyBorder="1" applyAlignment="1" applyProtection="1">
      <alignment horizontal="center"/>
      <protection locked="0"/>
    </xf>
    <xf numFmtId="0" fontId="0" fillId="0" borderId="5" xfId="0" applyBorder="1" applyAlignment="1">
      <alignment horizontal="center"/>
    </xf>
    <xf numFmtId="164" fontId="20" fillId="0" borderId="26" xfId="0" applyNumberFormat="1" applyFont="1" applyBorder="1" applyAlignment="1">
      <alignment horizontal="center"/>
    </xf>
    <xf numFmtId="49" fontId="0" fillId="0" borderId="0" xfId="0" applyNumberFormat="1" applyAlignment="1">
      <alignment horizontal="center"/>
    </xf>
    <xf numFmtId="0" fontId="0" fillId="0" borderId="0" xfId="0" applyAlignment="1">
      <alignment horizontal="center"/>
    </xf>
    <xf numFmtId="43" fontId="6" fillId="2" borderId="26" xfId="1" applyFill="1" applyBorder="1" applyAlignment="1" applyProtection="1">
      <alignment horizontal="center"/>
      <protection locked="0"/>
    </xf>
    <xf numFmtId="0" fontId="8" fillId="0" borderId="0" xfId="0" applyFont="1" applyAlignment="1">
      <alignment horizontal="center"/>
    </xf>
    <xf numFmtId="0" fontId="21" fillId="0" borderId="0" xfId="0" applyFont="1" applyAlignment="1">
      <alignment horizontal="center"/>
    </xf>
    <xf numFmtId="43" fontId="0" fillId="2" borderId="26" xfId="1" applyFont="1" applyFill="1" applyBorder="1" applyAlignment="1" applyProtection="1">
      <alignment horizontal="center"/>
      <protection locked="0"/>
    </xf>
    <xf numFmtId="0" fontId="0" fillId="0" borderId="1" xfId="0" applyBorder="1" applyAlignment="1">
      <alignment horizontal="center" vertical="center"/>
    </xf>
    <xf numFmtId="0" fontId="0" fillId="0" borderId="49" xfId="0" applyBorder="1" applyAlignment="1">
      <alignment horizontal="center" vertical="center"/>
    </xf>
    <xf numFmtId="0" fontId="10" fillId="0" borderId="0" xfId="0" applyFont="1" applyAlignment="1">
      <alignment horizontal="center"/>
    </xf>
    <xf numFmtId="14" fontId="9" fillId="0" borderId="0" xfId="0" applyNumberFormat="1" applyFont="1" applyAlignment="1">
      <alignment horizontal="center"/>
    </xf>
    <xf numFmtId="0" fontId="11" fillId="0" borderId="8" xfId="0" applyFont="1" applyBorder="1" applyAlignment="1">
      <alignment horizontal="center" vertical="top"/>
    </xf>
    <xf numFmtId="0" fontId="6" fillId="2" borderId="3" xfId="0" applyFont="1" applyFill="1" applyBorder="1" applyAlignment="1" applyProtection="1">
      <alignment horizontal="left"/>
      <protection locked="0"/>
    </xf>
    <xf numFmtId="0" fontId="6" fillId="2" borderId="20" xfId="0" applyFont="1" applyFill="1" applyBorder="1" applyAlignment="1" applyProtection="1">
      <alignment horizontal="left"/>
      <protection locked="0"/>
    </xf>
    <xf numFmtId="0" fontId="14" fillId="0" borderId="0" xfId="0" applyFont="1" applyAlignment="1">
      <alignment horizontal="center"/>
    </xf>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0" fontId="6" fillId="0" borderId="1" xfId="0" applyFont="1" applyBorder="1" applyAlignment="1">
      <alignment horizontal="center" vertical="center"/>
    </xf>
    <xf numFmtId="0" fontId="25" fillId="0" borderId="0" xfId="0" applyFont="1" applyAlignment="1">
      <alignment horizontal="center"/>
    </xf>
    <xf numFmtId="49" fontId="26" fillId="0" borderId="0" xfId="0" applyNumberFormat="1" applyFont="1" applyAlignment="1">
      <alignment horizontal="center"/>
    </xf>
    <xf numFmtId="0" fontId="9" fillId="0" borderId="64" xfId="0" applyFont="1" applyBorder="1" applyAlignment="1">
      <alignment horizontal="center" vertical="top"/>
    </xf>
    <xf numFmtId="0" fontId="9" fillId="0" borderId="26" xfId="0" applyFont="1" applyBorder="1" applyAlignment="1">
      <alignment horizontal="center" vertical="top"/>
    </xf>
    <xf numFmtId="0" fontId="9" fillId="0" borderId="41" xfId="0" applyFont="1" applyBorder="1" applyAlignment="1">
      <alignment horizontal="center" vertical="top"/>
    </xf>
    <xf numFmtId="0" fontId="26" fillId="0" borderId="0" xfId="0" applyFont="1" applyAlignment="1">
      <alignment horizontal="center" vertical="center" textRotation="180" wrapText="1"/>
    </xf>
    <xf numFmtId="0" fontId="17" fillId="0" borderId="0" xfId="0" applyFont="1" applyAlignment="1">
      <alignment horizontal="left"/>
    </xf>
    <xf numFmtId="0" fontId="6" fillId="0" borderId="3" xfId="0" applyFont="1" applyBorder="1" applyAlignment="1">
      <alignment horizontal="left" vertical="center"/>
    </xf>
    <xf numFmtId="0" fontId="0" fillId="0" borderId="3" xfId="0" applyBorder="1" applyAlignment="1">
      <alignment horizontal="left" vertical="center"/>
    </xf>
    <xf numFmtId="0" fontId="0" fillId="0" borderId="20" xfId="0" applyBorder="1" applyAlignment="1">
      <alignment horizontal="left" vertical="center"/>
    </xf>
    <xf numFmtId="0" fontId="0" fillId="2" borderId="3"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0" fillId="2" borderId="26" xfId="0" applyFill="1" applyBorder="1" applyAlignment="1" applyProtection="1">
      <alignment horizontal="left" vertical="center"/>
      <protection locked="0"/>
    </xf>
    <xf numFmtId="0" fontId="0" fillId="2" borderId="41" xfId="0" applyFill="1" applyBorder="1" applyAlignment="1" applyProtection="1">
      <alignment horizontal="left" vertical="center"/>
      <protection locked="0"/>
    </xf>
    <xf numFmtId="0" fontId="6" fillId="2" borderId="3" xfId="0" applyFont="1" applyFill="1" applyBorder="1" applyAlignment="1" applyProtection="1">
      <alignment horizontal="left" vertical="center"/>
      <protection locked="0"/>
    </xf>
    <xf numFmtId="0" fontId="7" fillId="0" borderId="8" xfId="0" applyFont="1" applyBorder="1" applyAlignment="1">
      <alignment horizontal="center"/>
    </xf>
    <xf numFmtId="0" fontId="0" fillId="0" borderId="28" xfId="0" applyBorder="1" applyAlignment="1">
      <alignment horizontal="center" vertical="center"/>
    </xf>
    <xf numFmtId="0" fontId="0" fillId="0" borderId="19" xfId="0" applyBorder="1" applyAlignment="1">
      <alignment horizontal="center" vertical="center"/>
    </xf>
    <xf numFmtId="0" fontId="6" fillId="0" borderId="3" xfId="0" applyFont="1" applyBorder="1" applyAlignment="1" applyProtection="1">
      <alignment horizontal="left" vertical="center"/>
      <protection locked="0"/>
    </xf>
    <xf numFmtId="0" fontId="0" fillId="0" borderId="3" xfId="0"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25" fillId="0" borderId="3" xfId="0" applyFont="1" applyBorder="1" applyAlignment="1">
      <alignment horizontal="left" vertical="center"/>
    </xf>
    <xf numFmtId="0" fontId="25" fillId="0" borderId="20" xfId="0" applyFont="1" applyBorder="1" applyAlignment="1">
      <alignment horizontal="left" vertical="center"/>
    </xf>
    <xf numFmtId="0" fontId="7" fillId="0" borderId="0" xfId="0" applyFont="1" applyAlignment="1">
      <alignment horizontal="center"/>
    </xf>
    <xf numFmtId="0" fontId="0" fillId="0" borderId="21" xfId="0" applyBorder="1" applyAlignment="1">
      <alignment horizontal="center"/>
    </xf>
    <xf numFmtId="0" fontId="26" fillId="0" borderId="0" xfId="0" applyFont="1" applyAlignment="1">
      <alignment vertical="center" textRotation="180" wrapText="1"/>
    </xf>
    <xf numFmtId="0" fontId="0" fillId="0" borderId="46" xfId="0" applyBorder="1" applyAlignment="1">
      <alignment horizontal="center"/>
    </xf>
    <xf numFmtId="0" fontId="0" fillId="0" borderId="51" xfId="0" applyBorder="1" applyAlignment="1">
      <alignment horizontal="center"/>
    </xf>
    <xf numFmtId="0" fontId="0" fillId="0" borderId="64" xfId="0" applyBorder="1" applyAlignment="1">
      <alignment horizontal="center"/>
    </xf>
    <xf numFmtId="0" fontId="0" fillId="0" borderId="41" xfId="0" applyBorder="1" applyAlignment="1">
      <alignment horizontal="center"/>
    </xf>
    <xf numFmtId="0" fontId="0" fillId="0" borderId="0" xfId="0"/>
    <xf numFmtId="0" fontId="17" fillId="0" borderId="0" xfId="0" applyFont="1" applyAlignment="1">
      <alignment horizontal="center"/>
    </xf>
    <xf numFmtId="0" fontId="66" fillId="0" borderId="54" xfId="0" applyFont="1" applyBorder="1" applyAlignment="1">
      <alignment horizontal="center"/>
    </xf>
    <xf numFmtId="0" fontId="66" fillId="0" borderId="55" xfId="0" applyFont="1" applyBorder="1" applyAlignment="1">
      <alignment horizontal="center"/>
    </xf>
    <xf numFmtId="0" fontId="66" fillId="0" borderId="59" xfId="0" applyFont="1" applyBorder="1" applyAlignment="1">
      <alignment horizontal="center"/>
    </xf>
    <xf numFmtId="0" fontId="66" fillId="0" borderId="60" xfId="0" applyFont="1" applyBorder="1" applyAlignment="1">
      <alignment horizontal="center"/>
    </xf>
    <xf numFmtId="0" fontId="0" fillId="0" borderId="9" xfId="0" applyBorder="1" applyAlignment="1">
      <alignment horizontal="center" vertical="center"/>
    </xf>
    <xf numFmtId="0" fontId="0" fillId="0" borderId="51" xfId="0" applyBorder="1" applyAlignment="1">
      <alignment horizontal="center" vertical="center"/>
    </xf>
    <xf numFmtId="0" fontId="0" fillId="0" borderId="8" xfId="0" applyBorder="1" applyAlignment="1">
      <alignment horizontal="center" vertical="center"/>
    </xf>
    <xf numFmtId="0" fontId="0" fillId="0" borderId="52" xfId="0" applyBorder="1" applyAlignment="1">
      <alignment horizontal="center" vertical="center"/>
    </xf>
    <xf numFmtId="0" fontId="13" fillId="0" borderId="5" xfId="0" applyFont="1" applyBorder="1" applyAlignment="1">
      <alignment horizontal="left" wrapText="1"/>
    </xf>
    <xf numFmtId="0" fontId="13" fillId="0" borderId="0" xfId="0" applyFont="1" applyAlignment="1">
      <alignment horizontal="left" wrapText="1"/>
    </xf>
    <xf numFmtId="43" fontId="16" fillId="0" borderId="53" xfId="1" applyFont="1" applyFill="1" applyBorder="1" applyAlignment="1" applyProtection="1">
      <alignment horizontal="center"/>
    </xf>
    <xf numFmtId="43" fontId="16" fillId="0" borderId="64" xfId="1" applyFont="1" applyFill="1" applyBorder="1" applyAlignment="1" applyProtection="1">
      <alignment horizontal="center"/>
    </xf>
    <xf numFmtId="43" fontId="20" fillId="0" borderId="6" xfId="1" applyFont="1" applyFill="1" applyBorder="1" applyAlignment="1">
      <alignment horizontal="center"/>
    </xf>
    <xf numFmtId="43" fontId="20" fillId="0" borderId="27" xfId="1" applyFont="1" applyFill="1" applyBorder="1" applyAlignment="1">
      <alignment horizontal="center"/>
    </xf>
    <xf numFmtId="0" fontId="20" fillId="0" borderId="1" xfId="0" applyFont="1" applyBorder="1" applyAlignment="1">
      <alignment horizontal="center" vertical="center"/>
    </xf>
    <xf numFmtId="0" fontId="19" fillId="0" borderId="3" xfId="0" applyFont="1" applyBorder="1" applyAlignment="1">
      <alignment wrapText="1"/>
    </xf>
    <xf numFmtId="1" fontId="8" fillId="0" borderId="0" xfId="0" applyNumberFormat="1" applyFont="1" applyAlignment="1">
      <alignment horizontal="center"/>
    </xf>
    <xf numFmtId="0" fontId="6" fillId="0" borderId="0" xfId="0" applyFont="1" applyAlignment="1">
      <alignment horizontal="center"/>
    </xf>
    <xf numFmtId="0" fontId="6" fillId="0" borderId="5" xfId="0" applyFont="1" applyBorder="1" applyAlignment="1">
      <alignment horizontal="center"/>
    </xf>
    <xf numFmtId="0" fontId="0" fillId="0" borderId="37" xfId="0" applyBorder="1" applyAlignment="1">
      <alignment horizontal="center" vertical="center"/>
    </xf>
    <xf numFmtId="0" fontId="19" fillId="0" borderId="20" xfId="0" applyFont="1" applyBorder="1" applyAlignment="1">
      <alignment wrapText="1"/>
    </xf>
    <xf numFmtId="14" fontId="0" fillId="2" borderId="26" xfId="0" applyNumberFormat="1" applyFill="1" applyBorder="1" applyAlignment="1" applyProtection="1">
      <alignment horizontal="center"/>
      <protection locked="0"/>
    </xf>
    <xf numFmtId="49" fontId="9" fillId="0" borderId="0" xfId="0" applyNumberFormat="1" applyFont="1" applyAlignment="1">
      <alignment horizontal="center"/>
    </xf>
    <xf numFmtId="0" fontId="25" fillId="0" borderId="0" xfId="0" applyFont="1" applyAlignment="1">
      <alignment horizontal="left"/>
    </xf>
    <xf numFmtId="0" fontId="6" fillId="2" borderId="26" xfId="0" applyFont="1" applyFill="1" applyBorder="1" applyAlignment="1" applyProtection="1">
      <alignment horizontal="left"/>
      <protection locked="0"/>
    </xf>
    <xf numFmtId="43" fontId="0" fillId="2" borderId="26" xfId="1" applyFont="1" applyFill="1" applyBorder="1" applyAlignment="1" applyProtection="1">
      <alignment horizontal="left"/>
      <protection locked="0"/>
    </xf>
    <xf numFmtId="0" fontId="25" fillId="0" borderId="0" xfId="0" applyFont="1" applyAlignment="1">
      <alignment horizontal="center" vertical="center"/>
    </xf>
    <xf numFmtId="49" fontId="27" fillId="0" borderId="0" xfId="0" applyNumberFormat="1" applyFont="1" applyAlignment="1">
      <alignment horizontal="center"/>
    </xf>
    <xf numFmtId="0" fontId="9" fillId="0" borderId="46" xfId="0" applyFont="1" applyBorder="1" applyAlignment="1">
      <alignment horizontal="center"/>
    </xf>
    <xf numFmtId="0" fontId="9" fillId="0" borderId="51" xfId="0" applyFont="1" applyBorder="1" applyAlignment="1">
      <alignment horizontal="center"/>
    </xf>
    <xf numFmtId="0" fontId="0" fillId="0" borderId="15" xfId="0" applyBorder="1" applyAlignment="1">
      <alignment horizontal="center"/>
    </xf>
    <xf numFmtId="0" fontId="0" fillId="2" borderId="18" xfId="0" applyFill="1" applyBorder="1" applyAlignment="1" applyProtection="1">
      <alignment horizontal="center"/>
      <protection locked="0"/>
    </xf>
    <xf numFmtId="0" fontId="0" fillId="2" borderId="19" xfId="0" applyFill="1" applyBorder="1" applyAlignment="1" applyProtection="1">
      <alignment horizontal="center"/>
      <protection locked="0"/>
    </xf>
    <xf numFmtId="0" fontId="0" fillId="2" borderId="3" xfId="0" quotePrefix="1" applyFill="1" applyBorder="1" applyAlignment="1" applyProtection="1">
      <alignment horizontal="center"/>
      <protection locked="0"/>
    </xf>
    <xf numFmtId="0" fontId="0" fillId="2" borderId="20" xfId="0" applyFill="1" applyBorder="1" applyAlignment="1" applyProtection="1">
      <alignment horizontal="center"/>
      <protection locked="0"/>
    </xf>
    <xf numFmtId="0" fontId="13" fillId="0" borderId="5" xfId="0" applyFont="1" applyBorder="1" applyAlignment="1">
      <alignment horizontal="center"/>
    </xf>
    <xf numFmtId="43" fontId="0" fillId="2" borderId="29" xfId="1" applyFont="1" applyFill="1" applyBorder="1" applyAlignment="1" applyProtection="1">
      <alignment horizontal="right"/>
      <protection locked="0"/>
    </xf>
    <xf numFmtId="43" fontId="0" fillId="2" borderId="20" xfId="1" applyFont="1" applyFill="1" applyBorder="1" applyAlignment="1" applyProtection="1">
      <alignment horizontal="right"/>
      <protection locked="0"/>
    </xf>
    <xf numFmtId="0" fontId="0" fillId="0" borderId="37" xfId="0" applyBorder="1" applyAlignment="1">
      <alignment horizontal="center" vertical="center" wrapText="1"/>
    </xf>
    <xf numFmtId="0" fontId="0" fillId="0" borderId="1" xfId="0" applyBorder="1" applyAlignment="1">
      <alignment horizontal="center" vertical="center" wrapText="1"/>
    </xf>
    <xf numFmtId="0" fontId="0" fillId="0" borderId="100" xfId="0" applyBorder="1" applyAlignment="1">
      <alignment horizontal="center" vertical="center" wrapText="1"/>
    </xf>
    <xf numFmtId="43" fontId="0" fillId="2" borderId="26" xfId="1" applyFont="1" applyFill="1" applyBorder="1" applyAlignment="1" applyProtection="1">
      <alignment horizontal="right"/>
      <protection locked="0"/>
    </xf>
    <xf numFmtId="43" fontId="0" fillId="2" borderId="88" xfId="1" applyFont="1" applyFill="1" applyBorder="1" applyAlignment="1" applyProtection="1">
      <alignment horizontal="right"/>
      <protection locked="0"/>
    </xf>
    <xf numFmtId="0" fontId="0" fillId="2" borderId="29" xfId="0" applyFill="1" applyBorder="1" applyAlignment="1" applyProtection="1">
      <alignment horizontal="center"/>
      <protection locked="0"/>
    </xf>
    <xf numFmtId="43" fontId="20" fillId="0" borderId="29" xfId="1" applyFont="1" applyBorder="1" applyAlignment="1">
      <alignment horizontal="center"/>
    </xf>
    <xf numFmtId="43" fontId="20" fillId="0" borderId="20" xfId="1" applyFont="1" applyBorder="1" applyAlignment="1">
      <alignment horizontal="center"/>
    </xf>
    <xf numFmtId="43" fontId="0" fillId="0" borderId="8" xfId="1" applyFont="1" applyBorder="1" applyAlignment="1">
      <alignment horizontal="right"/>
    </xf>
    <xf numFmtId="43" fontId="0" fillId="0" borderId="67" xfId="1" applyFont="1" applyBorder="1" applyAlignment="1">
      <alignment horizontal="right"/>
    </xf>
    <xf numFmtId="43" fontId="20" fillId="0" borderId="83" xfId="1" applyFont="1" applyBorder="1" applyAlignment="1">
      <alignment horizontal="center"/>
    </xf>
    <xf numFmtId="43" fontId="20" fillId="0" borderId="85" xfId="1" applyFont="1" applyBorder="1" applyAlignment="1">
      <alignment horizontal="center"/>
    </xf>
    <xf numFmtId="43" fontId="0" fillId="0" borderId="12" xfId="1" applyFont="1" applyBorder="1" applyAlignment="1">
      <alignment horizontal="right"/>
    </xf>
    <xf numFmtId="43" fontId="0" fillId="0" borderId="52" xfId="1" applyFont="1" applyBorder="1" applyAlignment="1">
      <alignment horizontal="right"/>
    </xf>
    <xf numFmtId="0" fontId="9" fillId="0" borderId="9" xfId="0" applyFont="1" applyBorder="1" applyAlignment="1">
      <alignment horizontal="center" vertical="center"/>
    </xf>
    <xf numFmtId="0" fontId="9" fillId="0" borderId="51" xfId="0" applyFont="1" applyBorder="1" applyAlignment="1">
      <alignment horizontal="center" vertical="center"/>
    </xf>
    <xf numFmtId="0" fontId="9" fillId="0" borderId="8" xfId="0" applyFont="1" applyBorder="1" applyAlignment="1">
      <alignment horizontal="center" vertical="center"/>
    </xf>
    <xf numFmtId="0" fontId="9" fillId="0" borderId="52" xfId="0" applyFont="1" applyBorder="1" applyAlignment="1">
      <alignment horizontal="center" vertical="center"/>
    </xf>
    <xf numFmtId="0" fontId="9" fillId="0" borderId="8" xfId="0" applyFont="1" applyBorder="1" applyAlignment="1">
      <alignment horizontal="center"/>
    </xf>
    <xf numFmtId="43" fontId="0" fillId="0" borderId="30" xfId="1" applyFont="1" applyBorder="1" applyAlignment="1">
      <alignment horizontal="right"/>
    </xf>
    <xf numFmtId="43" fontId="0" fillId="0" borderId="31" xfId="1" applyFont="1" applyBorder="1" applyAlignment="1">
      <alignment horizontal="right"/>
    </xf>
    <xf numFmtId="0" fontId="0" fillId="2" borderId="28" xfId="0" applyFill="1" applyBorder="1" applyAlignment="1" applyProtection="1">
      <alignment horizontal="center"/>
      <protection locked="0"/>
    </xf>
    <xf numFmtId="43" fontId="0" fillId="2" borderId="28" xfId="1" applyFont="1" applyFill="1" applyBorder="1" applyAlignment="1" applyProtection="1">
      <alignment horizontal="right"/>
      <protection locked="0"/>
    </xf>
    <xf numFmtId="43" fontId="0" fillId="2" borderId="19" xfId="1" applyFont="1" applyFill="1" applyBorder="1" applyAlignment="1" applyProtection="1">
      <alignment horizontal="right"/>
      <protection locked="0"/>
    </xf>
    <xf numFmtId="0" fontId="0" fillId="0" borderId="49" xfId="0" applyBorder="1" applyAlignment="1">
      <alignment horizontal="center" vertical="center" wrapText="1"/>
    </xf>
    <xf numFmtId="0" fontId="0" fillId="2" borderId="3" xfId="0" applyFill="1" applyBorder="1" applyProtection="1">
      <protection locked="0"/>
    </xf>
    <xf numFmtId="0" fontId="0" fillId="2" borderId="20" xfId="0" applyFill="1" applyBorder="1" applyProtection="1">
      <protection locked="0"/>
    </xf>
    <xf numFmtId="43" fontId="6" fillId="0" borderId="8" xfId="1" applyFont="1" applyFill="1" applyBorder="1" applyAlignment="1" applyProtection="1">
      <alignment horizontal="right"/>
    </xf>
    <xf numFmtId="43" fontId="6" fillId="0" borderId="67" xfId="1" applyFill="1" applyBorder="1" applyAlignment="1" applyProtection="1">
      <alignment horizontal="right"/>
    </xf>
    <xf numFmtId="43" fontId="6" fillId="0" borderId="30" xfId="1" applyBorder="1" applyAlignment="1" applyProtection="1">
      <alignment horizontal="right"/>
    </xf>
    <xf numFmtId="43" fontId="6" fillId="0" borderId="31" xfId="1" applyBorder="1" applyAlignment="1" applyProtection="1">
      <alignment horizontal="right"/>
    </xf>
    <xf numFmtId="43" fontId="6" fillId="2" borderId="29" xfId="1" applyFill="1" applyBorder="1" applyAlignment="1" applyProtection="1">
      <alignment horizontal="right"/>
      <protection locked="0"/>
    </xf>
    <xf numFmtId="43" fontId="6" fillId="2" borderId="20" xfId="1" applyFill="1" applyBorder="1" applyAlignment="1" applyProtection="1">
      <alignment horizontal="right"/>
      <protection locked="0"/>
    </xf>
    <xf numFmtId="43" fontId="6" fillId="2" borderId="28" xfId="1" applyFill="1" applyBorder="1" applyAlignment="1" applyProtection="1">
      <alignment horizontal="right"/>
      <protection locked="0"/>
    </xf>
    <xf numFmtId="43" fontId="6" fillId="2" borderId="19" xfId="1" applyFill="1" applyBorder="1" applyAlignment="1" applyProtection="1">
      <alignment horizontal="right"/>
      <protection locked="0"/>
    </xf>
    <xf numFmtId="14" fontId="0" fillId="2" borderId="28" xfId="0" applyNumberFormat="1" applyFill="1" applyBorder="1" applyAlignment="1" applyProtection="1">
      <alignment horizontal="center"/>
      <protection locked="0"/>
    </xf>
    <xf numFmtId="43" fontId="0" fillId="2" borderId="46" xfId="1" applyFont="1" applyFill="1" applyBorder="1" applyAlignment="1" applyProtection="1">
      <alignment horizontal="right"/>
      <protection locked="0"/>
    </xf>
    <xf numFmtId="43" fontId="0" fillId="2" borderId="51" xfId="1" applyFont="1" applyFill="1" applyBorder="1" applyAlignment="1" applyProtection="1">
      <alignment horizontal="right"/>
      <protection locked="0"/>
    </xf>
    <xf numFmtId="43" fontId="20" fillId="0" borderId="53" xfId="1" applyFont="1" applyBorder="1" applyAlignment="1" applyProtection="1">
      <alignment horizontal="center"/>
    </xf>
    <xf numFmtId="43" fontId="20" fillId="0" borderId="38" xfId="1" applyFont="1" applyBorder="1" applyAlignment="1" applyProtection="1">
      <alignment horizontal="center"/>
    </xf>
    <xf numFmtId="43" fontId="20" fillId="0" borderId="83" xfId="1" applyFont="1" applyBorder="1" applyAlignment="1" applyProtection="1">
      <alignment horizontal="center"/>
    </xf>
    <xf numFmtId="43" fontId="20" fillId="0" borderId="85" xfId="1" applyFont="1" applyBorder="1" applyAlignment="1" applyProtection="1">
      <alignment horizontal="center"/>
    </xf>
    <xf numFmtId="43" fontId="0" fillId="0" borderId="23" xfId="0" applyNumberFormat="1" applyBorder="1" applyAlignment="1">
      <alignment horizontal="center"/>
    </xf>
    <xf numFmtId="0" fontId="0" fillId="0" borderId="101" xfId="0" applyBorder="1" applyAlignment="1">
      <alignment horizontal="center"/>
    </xf>
    <xf numFmtId="43" fontId="6" fillId="0" borderId="12" xfId="1" applyBorder="1" applyAlignment="1" applyProtection="1">
      <alignment horizontal="right"/>
    </xf>
    <xf numFmtId="43" fontId="6" fillId="0" borderId="52" xfId="1" applyBorder="1" applyAlignment="1" applyProtection="1">
      <alignment horizontal="right"/>
    </xf>
    <xf numFmtId="43" fontId="20" fillId="0" borderId="29" xfId="1" applyFont="1" applyBorder="1" applyAlignment="1" applyProtection="1">
      <alignment horizontal="center"/>
    </xf>
    <xf numFmtId="43" fontId="20" fillId="0" borderId="20" xfId="1" applyFont="1" applyBorder="1" applyAlignment="1" applyProtection="1">
      <alignment horizontal="center"/>
    </xf>
    <xf numFmtId="43" fontId="6" fillId="0" borderId="29" xfId="1" applyBorder="1" applyAlignment="1" applyProtection="1">
      <alignment horizontal="right"/>
    </xf>
    <xf numFmtId="43" fontId="6" fillId="0" borderId="20" xfId="1" applyBorder="1" applyAlignment="1" applyProtection="1">
      <alignment horizontal="right"/>
    </xf>
    <xf numFmtId="0" fontId="13" fillId="0" borderId="0" xfId="0" applyFont="1" applyAlignment="1">
      <alignment horizontal="center"/>
    </xf>
    <xf numFmtId="43" fontId="6" fillId="2" borderId="26" xfId="1" applyFill="1" applyBorder="1" applyAlignment="1" applyProtection="1">
      <alignment horizontal="right"/>
      <protection locked="0"/>
    </xf>
    <xf numFmtId="43" fontId="6" fillId="0" borderId="30" xfId="1" applyBorder="1" applyAlignment="1">
      <alignment horizontal="right"/>
    </xf>
    <xf numFmtId="43" fontId="6" fillId="0" borderId="31" xfId="1" applyBorder="1" applyAlignment="1">
      <alignment horizontal="right"/>
    </xf>
    <xf numFmtId="0" fontId="14" fillId="0" borderId="8" xfId="0" applyFont="1" applyBorder="1" applyAlignment="1">
      <alignment horizontal="center"/>
    </xf>
    <xf numFmtId="43" fontId="6" fillId="0" borderId="12" xfId="1" applyBorder="1" applyAlignment="1">
      <alignment horizontal="right"/>
    </xf>
    <xf numFmtId="43" fontId="6" fillId="0" borderId="52" xfId="1" applyBorder="1" applyAlignment="1">
      <alignment horizontal="right"/>
    </xf>
    <xf numFmtId="43" fontId="6" fillId="0" borderId="23" xfId="1" applyBorder="1" applyAlignment="1">
      <alignment horizontal="right"/>
    </xf>
    <xf numFmtId="43" fontId="6" fillId="0" borderId="0" xfId="1" applyBorder="1" applyAlignment="1">
      <alignment horizontal="right"/>
    </xf>
    <xf numFmtId="0" fontId="26" fillId="0" borderId="15" xfId="0" applyFont="1" applyBorder="1" applyAlignment="1">
      <alignment horizontal="center" vertical="center" wrapText="1"/>
    </xf>
    <xf numFmtId="0" fontId="26" fillId="0" borderId="21" xfId="0" applyFont="1" applyBorder="1" applyAlignment="1">
      <alignment horizontal="center" vertical="center" wrapText="1"/>
    </xf>
    <xf numFmtId="0" fontId="16" fillId="0" borderId="64" xfId="0" applyFont="1" applyBorder="1" applyAlignment="1">
      <alignment horizontal="center" vertical="center" wrapText="1"/>
    </xf>
    <xf numFmtId="0" fontId="16" fillId="0" borderId="41" xfId="0" applyFont="1" applyBorder="1" applyAlignment="1">
      <alignment horizontal="center" vertical="center" wrapText="1"/>
    </xf>
    <xf numFmtId="49" fontId="0" fillId="2" borderId="18" xfId="0" applyNumberFormat="1" applyFill="1" applyBorder="1" applyAlignment="1" applyProtection="1">
      <alignment horizontal="left"/>
      <protection locked="0"/>
    </xf>
    <xf numFmtId="49" fontId="0" fillId="2" borderId="19" xfId="0" applyNumberFormat="1" applyFill="1" applyBorder="1" applyAlignment="1" applyProtection="1">
      <alignment horizontal="left"/>
      <protection locked="0"/>
    </xf>
    <xf numFmtId="49" fontId="0" fillId="2" borderId="3" xfId="0" applyNumberFormat="1" applyFill="1" applyBorder="1" applyAlignment="1" applyProtection="1">
      <alignment horizontal="left"/>
      <protection locked="0"/>
    </xf>
    <xf numFmtId="49" fontId="0" fillId="2" borderId="20" xfId="0" applyNumberFormat="1" applyFill="1" applyBorder="1" applyAlignment="1" applyProtection="1">
      <alignment horizontal="left"/>
      <protection locked="0"/>
    </xf>
    <xf numFmtId="0" fontId="0" fillId="2" borderId="18" xfId="0" applyFill="1" applyBorder="1" applyAlignment="1" applyProtection="1">
      <alignment horizontal="left"/>
      <protection locked="0"/>
    </xf>
    <xf numFmtId="0" fontId="0" fillId="2" borderId="19" xfId="0" applyFill="1" applyBorder="1" applyAlignment="1" applyProtection="1">
      <alignment horizontal="left"/>
      <protection locked="0"/>
    </xf>
    <xf numFmtId="0" fontId="26" fillId="0" borderId="66" xfId="0" applyFont="1" applyBorder="1" applyAlignment="1">
      <alignment horizontal="center" vertical="center" wrapText="1"/>
    </xf>
    <xf numFmtId="0" fontId="16" fillId="0" borderId="88" xfId="0" applyFont="1" applyBorder="1" applyAlignment="1">
      <alignment horizontal="center" vertical="center" wrapText="1"/>
    </xf>
    <xf numFmtId="0" fontId="0" fillId="0" borderId="46" xfId="0" applyBorder="1" applyAlignment="1">
      <alignment horizontal="center" vertical="center"/>
    </xf>
    <xf numFmtId="0" fontId="0" fillId="0" borderId="15" xfId="0" applyBorder="1" applyAlignment="1">
      <alignment horizontal="center" vertical="center"/>
    </xf>
    <xf numFmtId="0" fontId="0" fillId="0" borderId="21" xfId="0" applyBorder="1" applyAlignment="1">
      <alignment horizontal="center" vertical="center"/>
    </xf>
    <xf numFmtId="0" fontId="0" fillId="0" borderId="64" xfId="0" applyBorder="1" applyAlignment="1">
      <alignment horizontal="center" vertical="center"/>
    </xf>
    <xf numFmtId="0" fontId="0" fillId="0" borderId="41" xfId="0" applyBorder="1" applyAlignment="1">
      <alignment horizontal="center" vertical="center"/>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88" xfId="0" applyBorder="1" applyAlignment="1">
      <alignment horizontal="center" vertical="center"/>
    </xf>
    <xf numFmtId="43" fontId="0" fillId="2" borderId="53" xfId="1" applyFont="1" applyFill="1" applyBorder="1" applyAlignment="1" applyProtection="1">
      <alignment horizontal="center"/>
      <protection locked="0"/>
    </xf>
    <xf numFmtId="43" fontId="0" fillId="2" borderId="64" xfId="1" applyFont="1" applyFill="1" applyBorder="1" applyAlignment="1" applyProtection="1">
      <alignment horizontal="center"/>
      <protection locked="0"/>
    </xf>
    <xf numFmtId="43" fontId="20" fillId="0" borderId="6" xfId="1" applyFont="1" applyBorder="1" applyAlignment="1">
      <alignment horizontal="center"/>
    </xf>
    <xf numFmtId="43" fontId="20" fillId="0" borderId="27" xfId="1" applyFont="1" applyBorder="1" applyAlignment="1">
      <alignment horizontal="center"/>
    </xf>
    <xf numFmtId="1" fontId="9" fillId="0" borderId="0" xfId="0" applyNumberFormat="1" applyFont="1" applyAlignment="1">
      <alignment horizontal="center"/>
    </xf>
    <xf numFmtId="0" fontId="33" fillId="0" borderId="0" xfId="0" applyFont="1" applyAlignment="1">
      <alignment horizontal="center"/>
    </xf>
    <xf numFmtId="0" fontId="34" fillId="0" borderId="0" xfId="0" applyFont="1" applyAlignment="1">
      <alignment horizontal="center"/>
    </xf>
    <xf numFmtId="43" fontId="0" fillId="0" borderId="26" xfId="1" applyFont="1" applyBorder="1" applyAlignment="1" applyProtection="1">
      <alignment horizontal="center"/>
    </xf>
    <xf numFmtId="43" fontId="0" fillId="0" borderId="3" xfId="1" applyFont="1" applyBorder="1" applyAlignment="1" applyProtection="1">
      <alignment horizontal="center"/>
    </xf>
    <xf numFmtId="43" fontId="0" fillId="3" borderId="26" xfId="1" applyFont="1" applyFill="1" applyBorder="1" applyAlignment="1" applyProtection="1">
      <alignment horizontal="center"/>
    </xf>
    <xf numFmtId="0" fontId="37" fillId="0" borderId="0" xfId="0" applyFont="1" applyAlignment="1">
      <alignment horizontal="center"/>
    </xf>
    <xf numFmtId="0" fontId="6" fillId="0" borderId="1" xfId="19" applyBorder="1" applyAlignment="1">
      <alignment horizontal="center" vertical="center"/>
    </xf>
    <xf numFmtId="0" fontId="6" fillId="0" borderId="49" xfId="19" applyBorder="1" applyAlignment="1">
      <alignment horizontal="center" vertical="center"/>
    </xf>
    <xf numFmtId="0" fontId="6" fillId="0" borderId="0" xfId="19" applyAlignment="1">
      <alignment horizontal="center"/>
    </xf>
    <xf numFmtId="0" fontId="26" fillId="0" borderId="0" xfId="19" applyFont="1" applyAlignment="1">
      <alignment horizontal="center"/>
    </xf>
    <xf numFmtId="0" fontId="27" fillId="0" borderId="0" xfId="19" applyFont="1" applyAlignment="1">
      <alignment horizontal="center"/>
    </xf>
    <xf numFmtId="0" fontId="19" fillId="0" borderId="0" xfId="19" applyFont="1" applyAlignment="1">
      <alignment horizontal="center"/>
    </xf>
    <xf numFmtId="0" fontId="38" fillId="0" borderId="8" xfId="19" applyFont="1" applyBorder="1" applyAlignment="1">
      <alignment horizontal="center" vertical="top"/>
    </xf>
    <xf numFmtId="0" fontId="10" fillId="0" borderId="0" xfId="19" applyFont="1" applyAlignment="1">
      <alignment horizontal="center"/>
    </xf>
    <xf numFmtId="0" fontId="8" fillId="0" borderId="0" xfId="19" applyFont="1" applyAlignment="1">
      <alignment horizontal="center"/>
    </xf>
    <xf numFmtId="14" fontId="9" fillId="0" borderId="0" xfId="19" applyNumberFormat="1" applyFont="1" applyAlignment="1">
      <alignment horizontal="center"/>
    </xf>
    <xf numFmtId="0" fontId="9" fillId="0" borderId="0" xfId="19" applyFont="1" applyAlignment="1">
      <alignment horizontal="center"/>
    </xf>
    <xf numFmtId="0" fontId="6" fillId="0" borderId="5" xfId="19" applyBorder="1" applyAlignment="1">
      <alignment horizontal="center"/>
    </xf>
    <xf numFmtId="0" fontId="39" fillId="0" borderId="0" xfId="19" applyFont="1" applyAlignment="1">
      <alignment horizontal="center"/>
    </xf>
    <xf numFmtId="0" fontId="15" fillId="0" borderId="0" xfId="19" applyFont="1" applyAlignment="1">
      <alignment horizontal="center"/>
    </xf>
    <xf numFmtId="0" fontId="9" fillId="0" borderId="64" xfId="19" applyFont="1" applyBorder="1" applyAlignment="1">
      <alignment horizontal="center" vertical="top"/>
    </xf>
    <xf numFmtId="0" fontId="9" fillId="0" borderId="26" xfId="19" applyFont="1" applyBorder="1" applyAlignment="1">
      <alignment horizontal="center" vertical="top"/>
    </xf>
    <xf numFmtId="0" fontId="9" fillId="0" borderId="41" xfId="19" applyFont="1" applyBorder="1" applyAlignment="1">
      <alignment horizontal="center" vertical="top"/>
    </xf>
    <xf numFmtId="0" fontId="26" fillId="0" borderId="0" xfId="19" applyFont="1" applyAlignment="1">
      <alignment horizontal="center" vertical="center" textRotation="180" wrapText="1"/>
    </xf>
    <xf numFmtId="0" fontId="6" fillId="0" borderId="9" xfId="19" applyBorder="1" applyAlignment="1">
      <alignment horizontal="center" vertical="center"/>
    </xf>
    <xf numFmtId="0" fontId="6" fillId="0" borderId="51" xfId="19" applyBorder="1" applyAlignment="1">
      <alignment horizontal="center" vertical="center"/>
    </xf>
    <xf numFmtId="0" fontId="6" fillId="0" borderId="8" xfId="19" applyBorder="1" applyAlignment="1">
      <alignment horizontal="center" vertical="center"/>
    </xf>
    <xf numFmtId="0" fontId="6" fillId="0" borderId="52" xfId="19" applyBorder="1" applyAlignment="1">
      <alignment horizontal="center" vertical="center"/>
    </xf>
    <xf numFmtId="0" fontId="27" fillId="0" borderId="8" xfId="19" applyFont="1" applyBorder="1" applyAlignment="1">
      <alignment horizontal="center"/>
    </xf>
    <xf numFmtId="0" fontId="19" fillId="0" borderId="3" xfId="19" applyFont="1" applyBorder="1" applyAlignment="1">
      <alignment wrapText="1"/>
    </xf>
    <xf numFmtId="0" fontId="6" fillId="0" borderId="20" xfId="19" applyBorder="1" applyAlignment="1">
      <alignment wrapText="1"/>
    </xf>
    <xf numFmtId="0" fontId="6" fillId="0" borderId="5" xfId="19" applyBorder="1" applyAlignment="1">
      <alignment vertical="center"/>
    </xf>
    <xf numFmtId="0" fontId="6" fillId="0" borderId="26" xfId="19" applyBorder="1" applyAlignment="1">
      <alignment vertical="center"/>
    </xf>
    <xf numFmtId="0" fontId="6" fillId="0" borderId="0" xfId="19" applyAlignment="1">
      <alignment vertical="center"/>
    </xf>
    <xf numFmtId="0" fontId="6" fillId="0" borderId="8" xfId="19" applyBorder="1" applyAlignment="1">
      <alignment vertical="center"/>
    </xf>
    <xf numFmtId="0" fontId="6" fillId="0" borderId="3" xfId="19" applyBorder="1" applyAlignment="1">
      <alignment wrapText="1"/>
    </xf>
    <xf numFmtId="0" fontId="14" fillId="0" borderId="0" xfId="19" applyFont="1" applyAlignment="1">
      <alignment horizontal="center"/>
    </xf>
    <xf numFmtId="0" fontId="14" fillId="0" borderId="0" xfId="19" applyFont="1" applyAlignment="1" applyProtection="1">
      <alignment horizontal="center"/>
      <protection locked="0"/>
    </xf>
    <xf numFmtId="43" fontId="6" fillId="2" borderId="6" xfId="1" applyFill="1" applyBorder="1" applyAlignment="1" applyProtection="1">
      <alignment horizontal="center"/>
      <protection locked="0"/>
    </xf>
    <xf numFmtId="43" fontId="6" fillId="2" borderId="27" xfId="1" applyFill="1" applyBorder="1" applyAlignment="1" applyProtection="1">
      <alignment horizontal="center"/>
      <protection locked="0"/>
    </xf>
    <xf numFmtId="0" fontId="20" fillId="0" borderId="53" xfId="19" applyFont="1" applyBorder="1" applyAlignment="1">
      <alignment horizontal="center"/>
    </xf>
    <xf numFmtId="0" fontId="20" fillId="0" borderId="64" xfId="19" applyFont="1" applyBorder="1" applyAlignment="1">
      <alignment horizontal="center"/>
    </xf>
    <xf numFmtId="0" fontId="61" fillId="0" borderId="0" xfId="19" applyFont="1" applyAlignment="1">
      <alignment horizontal="center"/>
    </xf>
    <xf numFmtId="49" fontId="26" fillId="0" borderId="0" xfId="19" applyNumberFormat="1" applyFont="1" applyAlignment="1">
      <alignment horizontal="center"/>
    </xf>
    <xf numFmtId="49" fontId="9" fillId="0" borderId="0" xfId="19" applyNumberFormat="1" applyFont="1" applyAlignment="1">
      <alignment horizontal="center"/>
    </xf>
    <xf numFmtId="0" fontId="25" fillId="0" borderId="0" xfId="19" applyFont="1" applyAlignment="1">
      <alignment horizontal="center"/>
    </xf>
    <xf numFmtId="0" fontId="25" fillId="0" borderId="0" xfId="19" applyFont="1" applyAlignment="1">
      <alignment horizontal="center" vertical="center"/>
    </xf>
    <xf numFmtId="49" fontId="27" fillId="0" borderId="0" xfId="19" applyNumberFormat="1" applyFont="1" applyAlignment="1">
      <alignment horizontal="center"/>
    </xf>
    <xf numFmtId="0" fontId="20" fillId="0" borderId="0" xfId="19" applyFont="1" applyAlignment="1">
      <alignment horizontal="center"/>
    </xf>
    <xf numFmtId="43" fontId="6" fillId="0" borderId="12" xfId="1" applyFill="1" applyBorder="1" applyAlignment="1" applyProtection="1">
      <alignment horizontal="right"/>
    </xf>
    <xf numFmtId="43" fontId="6" fillId="0" borderId="52" xfId="1" applyFill="1" applyBorder="1" applyAlignment="1" applyProtection="1">
      <alignment horizontal="right"/>
    </xf>
    <xf numFmtId="43" fontId="6" fillId="0" borderId="29" xfId="1" applyFill="1" applyBorder="1" applyAlignment="1" applyProtection="1">
      <alignment horizontal="right"/>
    </xf>
    <xf numFmtId="43" fontId="6" fillId="0" borderId="20" xfId="1" applyFill="1" applyBorder="1" applyAlignment="1" applyProtection="1">
      <alignment horizontal="right"/>
    </xf>
    <xf numFmtId="0" fontId="6" fillId="2" borderId="29" xfId="19" applyFill="1" applyBorder="1" applyAlignment="1" applyProtection="1">
      <alignment horizontal="center"/>
      <protection locked="0"/>
    </xf>
    <xf numFmtId="0" fontId="6" fillId="2" borderId="20" xfId="19" applyFill="1" applyBorder="1" applyAlignment="1" applyProtection="1">
      <alignment horizontal="center"/>
      <protection locked="0"/>
    </xf>
    <xf numFmtId="0" fontId="6" fillId="0" borderId="37" xfId="19" applyBorder="1" applyAlignment="1">
      <alignment horizontal="center" vertical="center" wrapText="1"/>
    </xf>
    <xf numFmtId="0" fontId="6" fillId="0" borderId="49" xfId="19" applyBorder="1" applyAlignment="1">
      <alignment horizontal="center" vertical="center" wrapText="1"/>
    </xf>
    <xf numFmtId="0" fontId="6" fillId="0" borderId="37" xfId="19" applyBorder="1" applyAlignment="1">
      <alignment horizontal="center" vertical="center"/>
    </xf>
    <xf numFmtId="0" fontId="9" fillId="0" borderId="9" xfId="19" applyFont="1" applyBorder="1" applyAlignment="1">
      <alignment horizontal="center" vertical="center"/>
    </xf>
    <xf numFmtId="0" fontId="9" fillId="0" borderId="51" xfId="19" applyFont="1" applyBorder="1" applyAlignment="1">
      <alignment horizontal="center" vertical="center"/>
    </xf>
    <xf numFmtId="0" fontId="9" fillId="0" borderId="8" xfId="19" applyFont="1" applyBorder="1" applyAlignment="1">
      <alignment horizontal="center"/>
    </xf>
    <xf numFmtId="43" fontId="20" fillId="0" borderId="83" xfId="1" applyFont="1" applyFill="1" applyBorder="1" applyAlignment="1" applyProtection="1">
      <alignment horizontal="center"/>
    </xf>
    <xf numFmtId="43" fontId="20" fillId="0" borderId="85" xfId="1" applyFont="1" applyFill="1" applyBorder="1" applyAlignment="1" applyProtection="1">
      <alignment horizontal="center"/>
    </xf>
    <xf numFmtId="0" fontId="6" fillId="0" borderId="1" xfId="19" applyBorder="1" applyAlignment="1">
      <alignment horizontal="center" vertical="center" wrapText="1"/>
    </xf>
    <xf numFmtId="43" fontId="20" fillId="0" borderId="29" xfId="1" applyFont="1" applyFill="1" applyBorder="1" applyAlignment="1" applyProtection="1">
      <alignment horizontal="center"/>
    </xf>
    <xf numFmtId="43" fontId="20" fillId="0" borderId="20" xfId="1" applyFont="1" applyFill="1" applyBorder="1" applyAlignment="1" applyProtection="1">
      <alignment horizontal="center"/>
    </xf>
    <xf numFmtId="43" fontId="6" fillId="0" borderId="30" xfId="1" applyFill="1" applyBorder="1" applyAlignment="1" applyProtection="1">
      <alignment horizontal="right"/>
    </xf>
    <xf numFmtId="43" fontId="6" fillId="0" borderId="31" xfId="1" applyFill="1" applyBorder="1" applyAlignment="1" applyProtection="1">
      <alignment horizontal="right"/>
    </xf>
    <xf numFmtId="0" fontId="9" fillId="0" borderId="8" xfId="19" applyFont="1" applyBorder="1" applyAlignment="1" applyProtection="1">
      <alignment horizontal="center" vertical="center"/>
      <protection locked="0"/>
    </xf>
    <xf numFmtId="0" fontId="9" fillId="0" borderId="52" xfId="19" applyFont="1" applyBorder="1" applyAlignment="1" applyProtection="1">
      <alignment horizontal="center" vertical="center"/>
      <protection locked="0"/>
    </xf>
    <xf numFmtId="43" fontId="6" fillId="0" borderId="3" xfId="19" applyNumberFormat="1" applyBorder="1" applyAlignment="1">
      <alignment horizontal="center"/>
    </xf>
    <xf numFmtId="0" fontId="6" fillId="0" borderId="3" xfId="19" applyBorder="1" applyAlignment="1">
      <alignment horizontal="center"/>
    </xf>
    <xf numFmtId="14" fontId="6" fillId="2" borderId="28" xfId="19" applyNumberFormat="1" applyFill="1" applyBorder="1" applyAlignment="1" applyProtection="1">
      <alignment horizontal="center"/>
      <protection locked="0"/>
    </xf>
    <xf numFmtId="0" fontId="6" fillId="2" borderId="19" xfId="19" applyFill="1" applyBorder="1" applyAlignment="1" applyProtection="1">
      <alignment horizontal="center"/>
      <protection locked="0"/>
    </xf>
    <xf numFmtId="43" fontId="6" fillId="0" borderId="29" xfId="1" applyBorder="1" applyAlignment="1">
      <alignment horizontal="right"/>
    </xf>
    <xf numFmtId="43" fontId="6" fillId="0" borderId="20" xfId="1" applyBorder="1" applyAlignment="1">
      <alignment horizontal="right"/>
    </xf>
    <xf numFmtId="0" fontId="9" fillId="0" borderId="8" xfId="19" applyFont="1" applyBorder="1" applyAlignment="1">
      <alignment horizontal="center" vertical="center"/>
    </xf>
    <xf numFmtId="0" fontId="9" fillId="0" borderId="52" xfId="19" applyFont="1" applyBorder="1" applyAlignment="1">
      <alignment horizontal="center" vertical="center"/>
    </xf>
    <xf numFmtId="0" fontId="6" fillId="2" borderId="28" xfId="19" applyFill="1" applyBorder="1" applyAlignment="1" applyProtection="1">
      <alignment horizontal="center"/>
      <protection locked="0"/>
    </xf>
    <xf numFmtId="0" fontId="9" fillId="0" borderId="15" xfId="19" applyFont="1" applyBorder="1" applyAlignment="1">
      <alignment horizontal="center" vertical="center" wrapText="1"/>
    </xf>
    <xf numFmtId="0" fontId="9" fillId="0" borderId="21" xfId="19" applyFont="1" applyBorder="1" applyAlignment="1">
      <alignment horizontal="center" vertical="center" wrapText="1"/>
    </xf>
    <xf numFmtId="0" fontId="6" fillId="0" borderId="64" xfId="19" applyBorder="1" applyAlignment="1">
      <alignment horizontal="center" vertical="center" wrapText="1"/>
    </xf>
    <xf numFmtId="0" fontId="6" fillId="0" borderId="41" xfId="19" applyBorder="1" applyAlignment="1">
      <alignment horizontal="center" vertical="center" wrapText="1"/>
    </xf>
    <xf numFmtId="0" fontId="6" fillId="0" borderId="21" xfId="19" applyBorder="1" applyAlignment="1">
      <alignment horizontal="center"/>
    </xf>
    <xf numFmtId="0" fontId="20" fillId="0" borderId="89" xfId="19" applyFont="1" applyBorder="1" applyAlignment="1">
      <alignment horizontal="center"/>
    </xf>
    <xf numFmtId="0" fontId="20" fillId="0" borderId="90" xfId="19" applyFont="1" applyBorder="1" applyAlignment="1">
      <alignment horizontal="center"/>
    </xf>
    <xf numFmtId="0" fontId="20" fillId="0" borderId="91" xfId="19" applyFont="1" applyBorder="1" applyAlignment="1">
      <alignment horizontal="center"/>
    </xf>
    <xf numFmtId="49" fontId="6" fillId="2" borderId="3" xfId="19" applyNumberFormat="1" applyFill="1" applyBorder="1" applyAlignment="1" applyProtection="1">
      <alignment horizontal="left"/>
      <protection locked="0"/>
    </xf>
    <xf numFmtId="49" fontId="6" fillId="2" borderId="20" xfId="19" applyNumberFormat="1" applyFill="1" applyBorder="1" applyAlignment="1" applyProtection="1">
      <alignment horizontal="left"/>
      <protection locked="0"/>
    </xf>
    <xf numFmtId="0" fontId="6" fillId="0" borderId="9" xfId="19" applyBorder="1" applyAlignment="1">
      <alignment horizontal="center"/>
    </xf>
    <xf numFmtId="0" fontId="6" fillId="0" borderId="51" xfId="19" applyBorder="1" applyAlignment="1">
      <alignment horizontal="center"/>
    </xf>
    <xf numFmtId="49" fontId="6" fillId="2" borderId="18" xfId="19" applyNumberFormat="1" applyFill="1" applyBorder="1" applyAlignment="1" applyProtection="1">
      <alignment horizontal="left"/>
      <protection locked="0"/>
    </xf>
    <xf numFmtId="49" fontId="6" fillId="2" borderId="19" xfId="19" applyNumberFormat="1" applyFill="1" applyBorder="1" applyAlignment="1" applyProtection="1">
      <alignment horizontal="left"/>
      <protection locked="0"/>
    </xf>
    <xf numFmtId="0" fontId="9" fillId="0" borderId="0" xfId="19" applyFont="1" applyAlignment="1">
      <alignment horizontal="center" vertical="center" wrapText="1"/>
    </xf>
    <xf numFmtId="0" fontId="9" fillId="0" borderId="64" xfId="19" applyFont="1" applyBorder="1" applyAlignment="1">
      <alignment horizontal="center" vertical="center" wrapText="1"/>
    </xf>
    <xf numFmtId="0" fontId="9" fillId="0" borderId="26" xfId="19" applyFont="1" applyBorder="1" applyAlignment="1">
      <alignment horizontal="center" vertical="center" wrapText="1"/>
    </xf>
    <xf numFmtId="49" fontId="6" fillId="2" borderId="18" xfId="19" applyNumberFormat="1" applyFill="1" applyBorder="1" applyAlignment="1" applyProtection="1">
      <alignment horizontal="center"/>
      <protection locked="0"/>
    </xf>
    <xf numFmtId="49" fontId="6" fillId="2" borderId="19" xfId="19" applyNumberFormat="1" applyFill="1" applyBorder="1" applyAlignment="1" applyProtection="1">
      <alignment horizontal="center"/>
      <protection locked="0"/>
    </xf>
    <xf numFmtId="0" fontId="6" fillId="0" borderId="46" xfId="19" applyBorder="1" applyAlignment="1">
      <alignment horizontal="center" vertical="center"/>
    </xf>
    <xf numFmtId="0" fontId="6" fillId="0" borderId="15" xfId="19" applyBorder="1" applyAlignment="1">
      <alignment horizontal="center" vertical="center"/>
    </xf>
    <xf numFmtId="0" fontId="6" fillId="0" borderId="21" xfId="19" applyBorder="1" applyAlignment="1">
      <alignment horizontal="center" vertical="center"/>
    </xf>
    <xf numFmtId="0" fontId="6" fillId="0" borderId="64" xfId="19" applyBorder="1" applyAlignment="1">
      <alignment horizontal="center" vertical="center"/>
    </xf>
    <xf numFmtId="0" fontId="6" fillId="0" borderId="41" xfId="19" applyBorder="1" applyAlignment="1">
      <alignment horizontal="center" vertical="center"/>
    </xf>
    <xf numFmtId="0" fontId="6" fillId="0" borderId="65" xfId="19" applyBorder="1" applyAlignment="1">
      <alignment horizontal="center" vertical="center"/>
    </xf>
    <xf numFmtId="0" fontId="6" fillId="0" borderId="66" xfId="19" applyBorder="1" applyAlignment="1">
      <alignment horizontal="center" vertical="center"/>
    </xf>
    <xf numFmtId="0" fontId="6" fillId="0" borderId="88" xfId="19" applyBorder="1" applyAlignment="1">
      <alignment horizontal="center" vertical="center"/>
    </xf>
    <xf numFmtId="0" fontId="6" fillId="3" borderId="46" xfId="19" applyFill="1" applyBorder="1" applyAlignment="1">
      <alignment horizontal="center" vertical="center"/>
    </xf>
    <xf numFmtId="0" fontId="6" fillId="3" borderId="51" xfId="19" applyFill="1" applyBorder="1" applyAlignment="1">
      <alignment horizontal="center" vertical="center"/>
    </xf>
    <xf numFmtId="0" fontId="6" fillId="3" borderId="15" xfId="19" applyFill="1" applyBorder="1" applyAlignment="1">
      <alignment horizontal="center" vertical="center"/>
    </xf>
    <xf numFmtId="0" fontId="6" fillId="3" borderId="21" xfId="19" applyFill="1" applyBorder="1" applyAlignment="1">
      <alignment horizontal="center" vertical="center"/>
    </xf>
    <xf numFmtId="0" fontId="6" fillId="3" borderId="64" xfId="19" applyFill="1" applyBorder="1" applyAlignment="1">
      <alignment horizontal="center" vertical="center"/>
    </xf>
    <xf numFmtId="0" fontId="6" fillId="3" borderId="41" xfId="19" applyFill="1" applyBorder="1" applyAlignment="1">
      <alignment horizontal="center" vertical="center"/>
    </xf>
    <xf numFmtId="43" fontId="6" fillId="2" borderId="53" xfId="1" applyFill="1" applyBorder="1" applyAlignment="1" applyProtection="1">
      <alignment horizontal="center"/>
      <protection locked="0"/>
    </xf>
    <xf numFmtId="43" fontId="6" fillId="2" borderId="64" xfId="1" applyFill="1" applyBorder="1" applyAlignment="1" applyProtection="1">
      <alignment horizontal="center"/>
      <protection locked="0"/>
    </xf>
    <xf numFmtId="43" fontId="20" fillId="0" borderId="6" xfId="1" applyFont="1" applyBorder="1" applyAlignment="1" applyProtection="1">
      <alignment horizontal="center"/>
    </xf>
    <xf numFmtId="43" fontId="20" fillId="0" borderId="27" xfId="1" applyFont="1" applyBorder="1" applyAlignment="1" applyProtection="1">
      <alignment horizontal="center"/>
    </xf>
    <xf numFmtId="0" fontId="40" fillId="0" borderId="0" xfId="19" applyFont="1" applyAlignment="1">
      <alignment horizontal="center"/>
    </xf>
    <xf numFmtId="0" fontId="19" fillId="0" borderId="0" xfId="19" applyFont="1" applyAlignment="1" applyProtection="1">
      <alignment horizontal="center"/>
      <protection locked="0"/>
    </xf>
    <xf numFmtId="0" fontId="38" fillId="0" borderId="8" xfId="19" applyFont="1" applyBorder="1" applyAlignment="1" applyProtection="1">
      <alignment horizontal="center" vertical="top"/>
      <protection locked="0"/>
    </xf>
    <xf numFmtId="0" fontId="6" fillId="0" borderId="1" xfId="19" applyBorder="1" applyAlignment="1" applyProtection="1">
      <alignment horizontal="center" vertical="center"/>
      <protection locked="0"/>
    </xf>
    <xf numFmtId="0" fontId="6" fillId="0" borderId="49" xfId="19" applyBorder="1" applyAlignment="1" applyProtection="1">
      <alignment horizontal="center" vertical="center"/>
      <protection locked="0"/>
    </xf>
    <xf numFmtId="0" fontId="27" fillId="0" borderId="0" xfId="19" applyFont="1" applyAlignment="1" applyProtection="1">
      <alignment horizontal="center"/>
      <protection locked="0"/>
    </xf>
    <xf numFmtId="0" fontId="10" fillId="0" borderId="0" xfId="19" applyFont="1" applyAlignment="1" applyProtection="1">
      <alignment horizontal="center"/>
      <protection locked="0"/>
    </xf>
    <xf numFmtId="0" fontId="8" fillId="0" borderId="0" xfId="19" applyFont="1" applyAlignment="1" applyProtection="1">
      <alignment horizontal="center"/>
      <protection locked="0"/>
    </xf>
    <xf numFmtId="14" fontId="9" fillId="0" borderId="0" xfId="19" applyNumberFormat="1" applyFont="1" applyAlignment="1" applyProtection="1">
      <alignment horizontal="center"/>
      <protection locked="0"/>
    </xf>
    <xf numFmtId="0" fontId="9" fillId="0" borderId="0" xfId="19" applyFont="1" applyAlignment="1" applyProtection="1">
      <alignment horizontal="center"/>
      <protection locked="0"/>
    </xf>
    <xf numFmtId="43" fontId="20" fillId="0" borderId="53" xfId="19" applyNumberFormat="1" applyFont="1" applyBorder="1" applyAlignment="1">
      <alignment horizontal="center"/>
    </xf>
    <xf numFmtId="43" fontId="20" fillId="0" borderId="64" xfId="19" applyNumberFormat="1" applyFont="1" applyBorder="1" applyAlignment="1">
      <alignment horizontal="center"/>
    </xf>
    <xf numFmtId="0" fontId="15" fillId="0" borderId="8" xfId="19" applyFont="1" applyBorder="1" applyAlignment="1">
      <alignment horizontal="center"/>
    </xf>
    <xf numFmtId="0" fontId="6" fillId="0" borderId="9" xfId="19" applyBorder="1" applyAlignment="1" applyProtection="1">
      <alignment horizontal="center"/>
      <protection locked="0"/>
    </xf>
    <xf numFmtId="0" fontId="6" fillId="0" borderId="51" xfId="19" applyBorder="1" applyAlignment="1" applyProtection="1">
      <alignment horizontal="center"/>
      <protection locked="0"/>
    </xf>
    <xf numFmtId="49" fontId="6" fillId="2" borderId="3" xfId="19" applyNumberFormat="1" applyFill="1" applyBorder="1" applyProtection="1">
      <protection locked="0"/>
    </xf>
    <xf numFmtId="49" fontId="6" fillId="2" borderId="20" xfId="19" applyNumberFormat="1" applyFill="1" applyBorder="1" applyProtection="1">
      <protection locked="0"/>
    </xf>
    <xf numFmtId="49" fontId="6" fillId="2" borderId="18" xfId="19" applyNumberFormat="1" applyFill="1" applyBorder="1" applyProtection="1">
      <protection locked="0"/>
    </xf>
    <xf numFmtId="49" fontId="6" fillId="2" borderId="19" xfId="19" applyNumberFormat="1" applyFill="1" applyBorder="1" applyProtection="1">
      <protection locked="0"/>
    </xf>
  </cellXfs>
  <cellStyles count="87">
    <cellStyle name="Comma" xfId="1" builtinId="3"/>
    <cellStyle name="Comma 10" xfId="86" xr:uid="{115DF466-DF4A-4942-A9C5-71BA148DFB2C}"/>
    <cellStyle name="Comma 2" xfId="2" xr:uid="{00000000-0005-0000-0000-000001000000}"/>
    <cellStyle name="Comma 2 2" xfId="3" xr:uid="{00000000-0005-0000-0000-000002000000}"/>
    <cellStyle name="Comma 2 2 2" xfId="84" xr:uid="{00000000-0005-0000-0000-000003000000}"/>
    <cellStyle name="Comma 3" xfId="4" xr:uid="{00000000-0005-0000-0000-000004000000}"/>
    <cellStyle name="Comma 3 2" xfId="21" xr:uid="{00000000-0005-0000-0000-000005000000}"/>
    <cellStyle name="Comma 3 3" xfId="53" xr:uid="{00000000-0005-0000-0000-000006000000}"/>
    <cellStyle name="Comma 4" xfId="5" xr:uid="{00000000-0005-0000-0000-000007000000}"/>
    <cellStyle name="Comma 4 2" xfId="22" xr:uid="{00000000-0005-0000-0000-000008000000}"/>
    <cellStyle name="Comma 4 3" xfId="49" xr:uid="{00000000-0005-0000-0000-000009000000}"/>
    <cellStyle name="Comma 5" xfId="6" xr:uid="{00000000-0005-0000-0000-00000A000000}"/>
    <cellStyle name="Comma 5 2" xfId="23" xr:uid="{00000000-0005-0000-0000-00000B000000}"/>
    <cellStyle name="Comma 5 2 2" xfId="80" xr:uid="{00000000-0005-0000-0000-00000C000000}"/>
    <cellStyle name="Comma 5 3" xfId="45" xr:uid="{00000000-0005-0000-0000-00000D000000}"/>
    <cellStyle name="Comma 5 4" xfId="46" xr:uid="{00000000-0005-0000-0000-00000E000000}"/>
    <cellStyle name="Comma 5 4 2" xfId="79" xr:uid="{00000000-0005-0000-0000-00000F000000}"/>
    <cellStyle name="Comma 5 5" xfId="52" xr:uid="{00000000-0005-0000-0000-000010000000}"/>
    <cellStyle name="Comma 6" xfId="20" xr:uid="{00000000-0005-0000-0000-000011000000}"/>
    <cellStyle name="Comma 7" xfId="48" xr:uid="{00000000-0005-0000-0000-000012000000}"/>
    <cellStyle name="Comma 7 2" xfId="78" xr:uid="{00000000-0005-0000-0000-000013000000}"/>
    <cellStyle name="Comma 7 3" xfId="43" xr:uid="{00000000-0005-0000-0000-000014000000}"/>
    <cellStyle name="Comma 8" xfId="44" xr:uid="{00000000-0005-0000-0000-000015000000}"/>
    <cellStyle name="Comma 9" xfId="24" xr:uid="{00000000-0005-0000-0000-000016000000}"/>
    <cellStyle name="Currency 2" xfId="7" xr:uid="{00000000-0005-0000-0000-000018000000}"/>
    <cellStyle name="Currency 2 2" xfId="8" xr:uid="{00000000-0005-0000-0000-000019000000}"/>
    <cellStyle name="Currency 3" xfId="9" xr:uid="{00000000-0005-0000-0000-00001A000000}"/>
    <cellStyle name="Currency 3 2" xfId="26" xr:uid="{00000000-0005-0000-0000-00001B000000}"/>
    <cellStyle name="Currency 4" xfId="27" xr:uid="{00000000-0005-0000-0000-00001C000000}"/>
    <cellStyle name="Currency 4 2" xfId="54" xr:uid="{00000000-0005-0000-0000-00001D000000}"/>
    <cellStyle name="Currency 4 3" xfId="55" xr:uid="{00000000-0005-0000-0000-00001E000000}"/>
    <cellStyle name="Currency 4 3 2" xfId="47" xr:uid="{00000000-0005-0000-0000-00001F000000}"/>
    <cellStyle name="Currency 4 4" xfId="58" xr:uid="{00000000-0005-0000-0000-000020000000}"/>
    <cellStyle name="Currency 5" xfId="25" xr:uid="{00000000-0005-0000-0000-000021000000}"/>
    <cellStyle name="Currency 5 2" xfId="59" xr:uid="{00000000-0005-0000-0000-000022000000}"/>
    <cellStyle name="Currency 6" xfId="56" xr:uid="{00000000-0005-0000-0000-000023000000}"/>
    <cellStyle name="Currency 6 2" xfId="51" xr:uid="{00000000-0005-0000-0000-000024000000}"/>
    <cellStyle name="Currency 7" xfId="50" xr:uid="{00000000-0005-0000-0000-000025000000}"/>
    <cellStyle name="Currency 8" xfId="28" xr:uid="{00000000-0005-0000-0000-000026000000}"/>
    <cellStyle name="Hyperlink 2" xfId="29" xr:uid="{00000000-0005-0000-0000-000027000000}"/>
    <cellStyle name="Hyperlink 2 2" xfId="63" xr:uid="{00000000-0005-0000-0000-000028000000}"/>
    <cellStyle name="Hyperlink 2 3" xfId="62" xr:uid="{00000000-0005-0000-0000-000029000000}"/>
    <cellStyle name="Hyperlink 3" xfId="67" xr:uid="{00000000-0005-0000-0000-00002A000000}"/>
    <cellStyle name="Normal" xfId="0" builtinId="0"/>
    <cellStyle name="Normal 2" xfId="10" xr:uid="{00000000-0005-0000-0000-00002C000000}"/>
    <cellStyle name="Normal 2 2" xfId="31" xr:uid="{00000000-0005-0000-0000-00002D000000}"/>
    <cellStyle name="Normal 2 2 2" xfId="32" xr:uid="{00000000-0005-0000-0000-00002E000000}"/>
    <cellStyle name="Normal 2 2 3" xfId="60" xr:uid="{00000000-0005-0000-0000-00002F000000}"/>
    <cellStyle name="Normal 2 2 4" xfId="61" xr:uid="{00000000-0005-0000-0000-000030000000}"/>
    <cellStyle name="Normal 2 2 4 2" xfId="57" xr:uid="{00000000-0005-0000-0000-000031000000}"/>
    <cellStyle name="Normal 2 2 5" xfId="64" xr:uid="{00000000-0005-0000-0000-000032000000}"/>
    <cellStyle name="Normal 2 3" xfId="33" xr:uid="{00000000-0005-0000-0000-000033000000}"/>
    <cellStyle name="Normal 2 4" xfId="30" xr:uid="{00000000-0005-0000-0000-000034000000}"/>
    <cellStyle name="Normal 2 5" xfId="19" xr:uid="{00000000-0005-0000-0000-000035000000}"/>
    <cellStyle name="Normal 2 6" xfId="73" xr:uid="{00000000-0005-0000-0000-000036000000}"/>
    <cellStyle name="Normal 3" xfId="11" xr:uid="{00000000-0005-0000-0000-000037000000}"/>
    <cellStyle name="Normal 3 2" xfId="34" xr:uid="{00000000-0005-0000-0000-000038000000}"/>
    <cellStyle name="Normal 3 2 2" xfId="65" xr:uid="{00000000-0005-0000-0000-000039000000}"/>
    <cellStyle name="Normal 3 3" xfId="35" xr:uid="{00000000-0005-0000-0000-00003A000000}"/>
    <cellStyle name="Normal 4" xfId="12" xr:uid="{00000000-0005-0000-0000-00003B000000}"/>
    <cellStyle name="Normal 4 2" xfId="36" xr:uid="{00000000-0005-0000-0000-00003C000000}"/>
    <cellStyle name="Normal 4 3" xfId="66" xr:uid="{00000000-0005-0000-0000-00003D000000}"/>
    <cellStyle name="Normal 5" xfId="82" xr:uid="{00000000-0005-0000-0000-00003E000000}"/>
    <cellStyle name="Normal 6" xfId="85" xr:uid="{DD08C932-096D-45A0-A5D2-3FD3B7BDC9FB}"/>
    <cellStyle name="Normal 9" xfId="37" xr:uid="{00000000-0005-0000-0000-00003F000000}"/>
    <cellStyle name="Normal_AFS NEW SHEETS 1997" xfId="68" xr:uid="{00000000-0005-0000-0000-000040000000}"/>
    <cellStyle name="Normal_Woodbine  AFS New Sheets 1997" xfId="69" xr:uid="{00000000-0005-0000-0000-000041000000}"/>
    <cellStyle name="Normal_Woodbine Budget 02 Introduction" xfId="38" xr:uid="{00000000-0005-0000-0000-000042000000}"/>
    <cellStyle name="Percent" xfId="13" builtinId="5"/>
    <cellStyle name="Percent 2" xfId="14" xr:uid="{00000000-0005-0000-0000-000044000000}"/>
    <cellStyle name="Percent 2 2" xfId="15" xr:uid="{00000000-0005-0000-0000-000045000000}"/>
    <cellStyle name="Percent 2 3" xfId="71" xr:uid="{00000000-0005-0000-0000-000046000000}"/>
    <cellStyle name="Percent 3" xfId="16" xr:uid="{00000000-0005-0000-0000-000047000000}"/>
    <cellStyle name="Percent 3 2" xfId="40" xr:uid="{00000000-0005-0000-0000-000048000000}"/>
    <cellStyle name="Percent 3 2 2" xfId="72" xr:uid="{00000000-0005-0000-0000-000049000000}"/>
    <cellStyle name="Percent 3 3" xfId="83" xr:uid="{00000000-0005-0000-0000-00004A000000}"/>
    <cellStyle name="Percent 4" xfId="17" xr:uid="{00000000-0005-0000-0000-00004B000000}"/>
    <cellStyle name="Percent 4 2" xfId="41" xr:uid="{00000000-0005-0000-0000-00004C000000}"/>
    <cellStyle name="Percent 5" xfId="18" xr:uid="{00000000-0005-0000-0000-00004D000000}"/>
    <cellStyle name="Percent 5 2" xfId="42" xr:uid="{00000000-0005-0000-0000-00004E000000}"/>
    <cellStyle name="Percent 5 3" xfId="75" xr:uid="{00000000-0005-0000-0000-00004F000000}"/>
    <cellStyle name="Percent 5 4" xfId="76" xr:uid="{00000000-0005-0000-0000-000050000000}"/>
    <cellStyle name="Percent 5 4 2" xfId="74" xr:uid="{00000000-0005-0000-0000-000051000000}"/>
    <cellStyle name="Percent 6" xfId="39" xr:uid="{00000000-0005-0000-0000-000052000000}"/>
    <cellStyle name="Percent 7" xfId="77" xr:uid="{00000000-0005-0000-0000-000053000000}"/>
    <cellStyle name="Percent 7 2" xfId="81" xr:uid="{00000000-0005-0000-0000-000054000000}"/>
    <cellStyle name="Percent 8" xfId="70" xr:uid="{00000000-0005-0000-0000-000055000000}"/>
  </cellStyles>
  <dxfs count="20">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font>
        <b val="0"/>
        <i val="0"/>
        <strike/>
      </font>
    </dxf>
    <dxf>
      <font>
        <b val="0"/>
        <i val="0"/>
        <strike/>
      </font>
    </dxf>
    <dxf>
      <font>
        <strike/>
      </font>
    </dxf>
    <dxf>
      <font>
        <strike/>
      </font>
    </dxf>
    <dxf>
      <font>
        <strike/>
      </font>
    </dxf>
    <dxf>
      <font>
        <strike/>
      </font>
    </dxf>
    <dxf>
      <font>
        <strike/>
      </font>
    </dxf>
    <dxf>
      <font>
        <strike/>
      </font>
    </dxf>
    <dxf>
      <font>
        <b val="0"/>
        <i val="0"/>
        <strike/>
      </font>
    </dxf>
    <dxf>
      <font>
        <b val="0"/>
        <i val="0"/>
        <strike/>
      </font>
    </dxf>
    <dxf>
      <font>
        <strike/>
      </font>
    </dxf>
    <dxf>
      <font>
        <strike/>
      </font>
    </dxf>
    <dxf>
      <font>
        <strike/>
      </font>
    </dxf>
    <dxf>
      <font>
        <color rgb="FF9C0006"/>
      </font>
      <fill>
        <patternFill>
          <bgColor rgb="FFFFC7CE"/>
        </patternFill>
      </fill>
    </dxf>
  </dxfs>
  <tableStyles count="0" defaultTableStyle="TableStyleMedium9"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sharedStrings" Target="sharedStrings.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calcChain" Target="calcChain.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s>
</file>

<file path=xl/ctrlProps/ctrlProp1.xml><?xml version="1.0" encoding="utf-8"?>
<formControlPr xmlns="http://schemas.microsoft.com/office/spreadsheetml/2009/9/main" objectType="Drop" dropLines="20" dropStyle="combo" dx="22" fmlaLink="$D$8" fmlaRange="$U$7:$U$593" noThreeD="1" sel="309" val="303"/>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22860</xdr:colOff>
          <xdr:row>7</xdr:row>
          <xdr:rowOff>7620</xdr:rowOff>
        </xdr:from>
        <xdr:to>
          <xdr:col>4</xdr:col>
          <xdr:colOff>0</xdr:colOff>
          <xdr:row>7</xdr:row>
          <xdr:rowOff>251460</xdr:rowOff>
        </xdr:to>
        <xdr:sp macro="" textlink="">
          <xdr:nvSpPr>
            <xdr:cNvPr id="39937" name="Drop Down 1" hidden="1">
              <a:extLst>
                <a:ext uri="{63B3BB69-23CF-44E3-9099-C40C66FF867C}">
                  <a14:compatExt spid="_x0000_s39937"/>
                </a:ext>
                <a:ext uri="{FF2B5EF4-FFF2-40B4-BE49-F238E27FC236}">
                  <a16:creationId xmlns:a16="http://schemas.microsoft.com/office/drawing/2014/main" id="{00000000-0008-0000-0200-000001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83820</xdr:colOff>
          <xdr:row>2</xdr:row>
          <xdr:rowOff>175260</xdr:rowOff>
        </xdr:from>
        <xdr:to>
          <xdr:col>7</xdr:col>
          <xdr:colOff>1783080</xdr:colOff>
          <xdr:row>6</xdr:row>
          <xdr:rowOff>0</xdr:rowOff>
        </xdr:to>
        <xdr:sp macro="" textlink="">
          <xdr:nvSpPr>
            <xdr:cNvPr id="39939" name="Button 3" hidden="1">
              <a:extLst>
                <a:ext uri="{63B3BB69-23CF-44E3-9099-C40C66FF867C}">
                  <a14:compatExt spid="_x0000_s39939"/>
                </a:ext>
                <a:ext uri="{FF2B5EF4-FFF2-40B4-BE49-F238E27FC236}">
                  <a16:creationId xmlns:a16="http://schemas.microsoft.com/office/drawing/2014/main" id="{00000000-0008-0000-0200-0000039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Data Migration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845820</xdr:colOff>
          <xdr:row>39</xdr:row>
          <xdr:rowOff>121920</xdr:rowOff>
        </xdr:from>
        <xdr:to>
          <xdr:col>12</xdr:col>
          <xdr:colOff>38100</xdr:colOff>
          <xdr:row>41</xdr:row>
          <xdr:rowOff>22860</xdr:rowOff>
        </xdr:to>
        <xdr:sp macro="" textlink="">
          <xdr:nvSpPr>
            <xdr:cNvPr id="161794" name="Check Box 2" hidden="1">
              <a:extLst>
                <a:ext uri="{63B3BB69-23CF-44E3-9099-C40C66FF867C}">
                  <a14:compatExt spid="_x0000_s161794"/>
                </a:ext>
                <a:ext uri="{FF2B5EF4-FFF2-40B4-BE49-F238E27FC236}">
                  <a16:creationId xmlns:a16="http://schemas.microsoft.com/office/drawing/2014/main" id="{00000000-0008-0000-7800-000002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j.gov/dca/divisions/dlgs/pdf/FAST%20AFS%20Quick%20User%20Guide.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21.bin"/><Relationship Id="rId4" Type="http://schemas.openxmlformats.org/officeDocument/2006/relationships/ctrlProp" Target="../ctrlProps/ctrlProp3.xm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ADC52-0B48-4265-8858-1F8D9743224E}">
  <sheetPr codeName="Sheet2"/>
  <dimension ref="A1:D31"/>
  <sheetViews>
    <sheetView zoomScaleNormal="100" workbookViewId="0">
      <selection activeCell="H8" sqref="H8"/>
    </sheetView>
  </sheetViews>
  <sheetFormatPr defaultColWidth="9.109375" defaultRowHeight="14.4"/>
  <cols>
    <col min="1" max="1" width="4" style="677" bestFit="1" customWidth="1"/>
    <col min="2" max="2" width="97" style="677" customWidth="1"/>
    <col min="3" max="3" width="5.6640625" style="677" customWidth="1"/>
    <col min="4" max="4" width="25.44140625" style="677" bestFit="1" customWidth="1"/>
    <col min="5" max="16384" width="9.109375" style="677"/>
  </cols>
  <sheetData>
    <row r="1" spans="1:4" s="676" customFormat="1" ht="21.6" thickBot="1">
      <c r="A1" s="1100"/>
      <c r="B1" s="1101" t="s">
        <v>3396</v>
      </c>
      <c r="D1" s="963"/>
    </row>
    <row r="2" spans="1:4" ht="15" thickBot="1">
      <c r="A2" s="1102"/>
      <c r="B2" s="1116" t="s">
        <v>3667</v>
      </c>
    </row>
    <row r="3" spans="1:4" s="680" customFormat="1" ht="34.5" customHeight="1">
      <c r="A3" s="1103" t="s">
        <v>3397</v>
      </c>
      <c r="B3" s="1104" t="s">
        <v>3488</v>
      </c>
      <c r="C3" s="679"/>
    </row>
    <row r="4" spans="1:4" ht="16.5" customHeight="1">
      <c r="A4" s="1103" t="s">
        <v>3398</v>
      </c>
      <c r="B4" s="1105" t="s">
        <v>3490</v>
      </c>
      <c r="C4" s="681"/>
    </row>
    <row r="5" spans="1:4" ht="16.8">
      <c r="A5" s="1103" t="s">
        <v>3399</v>
      </c>
      <c r="B5" s="1106" t="s">
        <v>3400</v>
      </c>
      <c r="C5" s="679"/>
    </row>
    <row r="6" spans="1:4" ht="16.8">
      <c r="A6" s="1103" t="s">
        <v>3401</v>
      </c>
      <c r="B6" s="1106" t="s">
        <v>3402</v>
      </c>
      <c r="C6" s="678"/>
    </row>
    <row r="7" spans="1:4" ht="16.8">
      <c r="A7" s="1103" t="s">
        <v>3403</v>
      </c>
      <c r="B7" s="1107" t="s">
        <v>3489</v>
      </c>
      <c r="C7" s="678"/>
    </row>
    <row r="8" spans="1:4" ht="67.2">
      <c r="A8" s="1103" t="s">
        <v>3404</v>
      </c>
      <c r="B8" s="1104" t="s">
        <v>3621</v>
      </c>
      <c r="C8" s="678"/>
    </row>
    <row r="9" spans="1:4" ht="16.8">
      <c r="A9" s="1103" t="s">
        <v>3405</v>
      </c>
      <c r="B9" s="1104" t="s">
        <v>3605</v>
      </c>
      <c r="C9" s="678"/>
    </row>
    <row r="10" spans="1:4" ht="50.4">
      <c r="A10" s="1103" t="s">
        <v>3406</v>
      </c>
      <c r="B10" s="1104" t="s">
        <v>3644</v>
      </c>
      <c r="C10" s="678"/>
    </row>
    <row r="11" spans="1:4" ht="33.6">
      <c r="A11" s="1103" t="s">
        <v>3407</v>
      </c>
      <c r="B11" s="1104" t="s">
        <v>3606</v>
      </c>
    </row>
    <row r="12" spans="1:4" ht="33.6">
      <c r="A12" s="1108" t="s">
        <v>3529</v>
      </c>
      <c r="B12" s="1109" t="s">
        <v>3607</v>
      </c>
    </row>
    <row r="13" spans="1:4" ht="67.2">
      <c r="A13" s="1108" t="s">
        <v>3536</v>
      </c>
      <c r="B13" s="1104" t="s">
        <v>3622</v>
      </c>
    </row>
    <row r="14" spans="1:4" ht="16.8">
      <c r="A14" s="1110"/>
      <c r="B14" s="1111" t="s">
        <v>3501</v>
      </c>
    </row>
    <row r="15" spans="1:4" ht="15" thickBot="1">
      <c r="A15" s="1112"/>
      <c r="B15" s="1113" t="s">
        <v>3502</v>
      </c>
    </row>
    <row r="17" spans="1:2" ht="15" thickBot="1"/>
    <row r="18" spans="1:2" ht="21">
      <c r="A18" s="1128" t="s">
        <v>3660</v>
      </c>
      <c r="B18" s="1129"/>
    </row>
    <row r="19" spans="1:2">
      <c r="A19" s="1110" t="s">
        <v>3653</v>
      </c>
      <c r="B19" s="1114" t="s">
        <v>3661</v>
      </c>
    </row>
    <row r="20" spans="1:2">
      <c r="A20" s="1110" t="s">
        <v>3654</v>
      </c>
      <c r="B20" s="1114" t="s">
        <v>3659</v>
      </c>
    </row>
    <row r="21" spans="1:2">
      <c r="A21" s="1110"/>
      <c r="B21" s="1117" t="s">
        <v>3668</v>
      </c>
    </row>
    <row r="22" spans="1:2">
      <c r="A22" s="1110" t="s">
        <v>3655</v>
      </c>
      <c r="B22" s="1114" t="s">
        <v>3662</v>
      </c>
    </row>
    <row r="23" spans="1:2">
      <c r="A23" s="1110" t="s">
        <v>3656</v>
      </c>
      <c r="B23" s="1117" t="s">
        <v>3669</v>
      </c>
    </row>
    <row r="24" spans="1:2" ht="28.8">
      <c r="A24" s="1110" t="s">
        <v>3657</v>
      </c>
      <c r="B24" s="1117" t="s">
        <v>3670</v>
      </c>
    </row>
    <row r="25" spans="1:2">
      <c r="A25" s="1118" t="s">
        <v>3404</v>
      </c>
      <c r="B25" s="1114" t="s">
        <v>3663</v>
      </c>
    </row>
    <row r="26" spans="1:2">
      <c r="A26" s="1110"/>
      <c r="B26" s="1119" t="s">
        <v>3658</v>
      </c>
    </row>
    <row r="27" spans="1:2" ht="28.8">
      <c r="A27" s="1110"/>
      <c r="B27" s="1114" t="s">
        <v>3666</v>
      </c>
    </row>
    <row r="28" spans="1:2" ht="28.8">
      <c r="A28" s="1110"/>
      <c r="B28" s="1114" t="s">
        <v>3664</v>
      </c>
    </row>
    <row r="29" spans="1:2" ht="29.4" thickBot="1">
      <c r="A29" s="1112"/>
      <c r="B29" s="1115" t="s">
        <v>3665</v>
      </c>
    </row>
    <row r="30" spans="1:2">
      <c r="B30" s="680"/>
    </row>
    <row r="31" spans="1:2">
      <c r="B31" s="680"/>
    </row>
  </sheetData>
  <sheetProtection algorithmName="SHA-512" hashValue="05dKy5BjAggP15kZhV1YljrggzM1FGE9Cr7Ozz9S2NvxeqMEAJz18k61PdqWSkQ87b3bUXEaoPr51pWfU/PZQA==" saltValue="jEDnKKt/WUJoPpEDmJU/EA==" spinCount="100000" sheet="1" objects="1" scenarios="1"/>
  <mergeCells count="1">
    <mergeCell ref="A18:B18"/>
  </mergeCells>
  <hyperlinks>
    <hyperlink ref="B15" r:id="rId1" display="https://www.nj.gov/dca/divisions/dlgs/pdf/FAST AFS Quick User Guide.pdf" xr:uid="{19CF3527-1EEF-4732-AA8B-1EE3E5F11583}"/>
  </hyperlinks>
  <pageMargins left="0.25" right="0.25" top="0.75" bottom="0.75" header="0.3" footer="0.3"/>
  <pageSetup paperSize="5" fitToWidth="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B2:I51"/>
  <sheetViews>
    <sheetView topLeftCell="A17" zoomScaleNormal="100" zoomScaleSheetLayoutView="90" workbookViewId="0">
      <selection activeCell="G15" sqref="G15"/>
    </sheetView>
  </sheetViews>
  <sheetFormatPr defaultRowHeight="13.2"/>
  <cols>
    <col min="1" max="1" width="4.6640625" customWidth="1"/>
    <col min="2" max="2" width="4.88671875" customWidth="1"/>
    <col min="3" max="4" width="4.6640625" customWidth="1"/>
    <col min="5" max="5" width="30.6640625" customWidth="1"/>
    <col min="6" max="6" width="15.6640625" customWidth="1"/>
    <col min="7" max="8" width="21" bestFit="1" customWidth="1"/>
    <col min="9" max="9" width="12.88671875" bestFit="1" customWidth="1"/>
  </cols>
  <sheetData>
    <row r="2" spans="2:9">
      <c r="B2" s="1181" t="s">
        <v>100</v>
      </c>
      <c r="C2" s="1181"/>
      <c r="D2" s="1181"/>
      <c r="E2" s="1181"/>
      <c r="F2" s="1181"/>
      <c r="G2" s="1181"/>
      <c r="H2" s="1181"/>
    </row>
    <row r="4" spans="2:9" ht="22.8">
      <c r="B4" s="1176" t="s">
        <v>424</v>
      </c>
      <c r="C4" s="1176"/>
      <c r="D4" s="1176"/>
      <c r="E4" s="1176"/>
      <c r="F4" s="1176"/>
      <c r="G4" s="1176"/>
      <c r="H4" s="1176"/>
    </row>
    <row r="5" spans="2:9" ht="22.8">
      <c r="B5" s="1176" t="s">
        <v>557</v>
      </c>
      <c r="C5" s="1176"/>
      <c r="D5" s="1176"/>
      <c r="E5" s="1176"/>
      <c r="F5" s="1176"/>
      <c r="G5" s="1176"/>
      <c r="H5" s="1176"/>
    </row>
    <row r="6" spans="2:9" ht="15.6">
      <c r="B6" s="1182" t="str">
        <f>IF('KEY INPUTS'!C42 = "State Fiscal Year", 'KEY INPUTS'!F45,'KEY INPUTS'!D45)</f>
        <v>AS  AT  DECEMBER  31, 2024</v>
      </c>
      <c r="C6" s="1132"/>
      <c r="D6" s="1132"/>
      <c r="E6" s="1132"/>
      <c r="F6" s="1132"/>
      <c r="G6" s="1132"/>
      <c r="H6" s="1132"/>
    </row>
    <row r="8" spans="2:9" ht="15" customHeight="1" thickBot="1">
      <c r="B8" s="1183" t="s">
        <v>94</v>
      </c>
      <c r="C8" s="1183"/>
      <c r="D8" s="1183"/>
      <c r="E8" s="1183"/>
      <c r="F8" s="1183"/>
      <c r="G8" s="1183"/>
      <c r="H8" s="1183"/>
    </row>
    <row r="9" spans="2:9" ht="36" customHeight="1" thickTop="1" thickBot="1">
      <c r="B9" s="1179" t="s">
        <v>95</v>
      </c>
      <c r="C9" s="1179"/>
      <c r="D9" s="1179"/>
      <c r="E9" s="1179"/>
      <c r="F9" s="1180"/>
      <c r="G9" s="4" t="s">
        <v>96</v>
      </c>
      <c r="H9" s="3" t="s">
        <v>97</v>
      </c>
    </row>
    <row r="10" spans="2:9" ht="21" customHeight="1" thickTop="1">
      <c r="G10" s="287"/>
      <c r="H10" s="206"/>
    </row>
    <row r="11" spans="2:9" ht="21" customHeight="1">
      <c r="B11" s="5"/>
      <c r="C11" s="5" t="s">
        <v>351</v>
      </c>
      <c r="D11" s="5"/>
      <c r="E11" s="5"/>
      <c r="F11" s="5"/>
      <c r="G11" s="272">
        <f>+'9-Cash Reconciliation'!I6</f>
        <v>3752552.1</v>
      </c>
      <c r="H11" s="556"/>
      <c r="I11" s="204"/>
    </row>
    <row r="12" spans="2:9" ht="21" customHeight="1">
      <c r="B12" s="5"/>
      <c r="C12" s="263" t="s">
        <v>3191</v>
      </c>
      <c r="D12" s="5"/>
      <c r="E12" s="5"/>
      <c r="F12" s="5"/>
      <c r="G12" s="289"/>
      <c r="H12" s="438"/>
      <c r="I12" s="204"/>
    </row>
    <row r="13" spans="2:9" ht="21" customHeight="1">
      <c r="B13" s="5"/>
      <c r="C13" s="263" t="s">
        <v>3190</v>
      </c>
      <c r="D13" s="5"/>
      <c r="E13" s="5"/>
      <c r="F13" s="5"/>
      <c r="G13" s="272">
        <f>'23-SCVet Deductions'!J21</f>
        <v>0</v>
      </c>
      <c r="H13" s="623">
        <f>'23-SCVet Deductions'!I22</f>
        <v>5028.2000000000007</v>
      </c>
      <c r="I13" s="552"/>
    </row>
    <row r="14" spans="2:9" ht="21" customHeight="1">
      <c r="B14" s="5"/>
      <c r="C14" s="417"/>
      <c r="D14" s="417"/>
      <c r="E14" s="417"/>
      <c r="F14" s="417"/>
      <c r="G14" s="289"/>
      <c r="H14" s="438"/>
    </row>
    <row r="15" spans="2:9" ht="21" customHeight="1">
      <c r="B15" s="5"/>
      <c r="C15" s="417"/>
      <c r="D15" s="417"/>
      <c r="E15" s="417"/>
      <c r="F15" s="417"/>
      <c r="G15" s="444"/>
      <c r="H15" s="444"/>
    </row>
    <row r="16" spans="2:9" ht="21" customHeight="1">
      <c r="B16" s="112" t="s">
        <v>3217</v>
      </c>
      <c r="G16" s="577"/>
      <c r="H16" s="577"/>
      <c r="I16" s="204"/>
    </row>
    <row r="17" spans="2:9" ht="21" customHeight="1" thickBot="1">
      <c r="B17" s="5"/>
      <c r="C17" s="5" t="s">
        <v>352</v>
      </c>
      <c r="D17" s="5"/>
      <c r="E17" s="5"/>
      <c r="F17" s="7"/>
      <c r="G17" s="272"/>
      <c r="H17" s="195"/>
      <c r="I17" s="204"/>
    </row>
    <row r="18" spans="2:9" ht="21" customHeight="1">
      <c r="B18" s="5"/>
      <c r="C18" s="5" t="s">
        <v>353</v>
      </c>
      <c r="D18" s="5"/>
      <c r="E18" s="5"/>
      <c r="F18" s="580">
        <f>+'26-Delinquent Taxes and Liens'!I29-'3-Trial Bal-Current Fund'!F19</f>
        <v>0</v>
      </c>
      <c r="G18" s="561"/>
      <c r="H18" s="556"/>
      <c r="I18" s="204"/>
    </row>
    <row r="19" spans="2:9" ht="21" customHeight="1" thickBot="1">
      <c r="B19" s="5"/>
      <c r="C19" s="5" t="s">
        <v>354</v>
      </c>
      <c r="D19" s="5"/>
      <c r="E19" s="5"/>
      <c r="F19" s="1087">
        <f>+'22-CY Levy'!N35</f>
        <v>97172.449999999255</v>
      </c>
      <c r="G19" s="562"/>
      <c r="H19" s="556"/>
      <c r="I19" s="204"/>
    </row>
    <row r="20" spans="2:9" ht="21" customHeight="1">
      <c r="B20" s="5"/>
      <c r="C20" s="5"/>
      <c r="D20" s="5" t="s">
        <v>355</v>
      </c>
      <c r="E20" s="5"/>
      <c r="F20" s="30"/>
      <c r="G20" s="272">
        <f>+F19+F18</f>
        <v>97172.449999999255</v>
      </c>
      <c r="H20" s="556"/>
      <c r="I20" s="204"/>
    </row>
    <row r="21" spans="2:9" ht="21" customHeight="1">
      <c r="B21" s="5"/>
      <c r="C21" s="5" t="s">
        <v>356</v>
      </c>
      <c r="D21" s="5"/>
      <c r="E21" s="5"/>
      <c r="F21" s="5"/>
      <c r="G21" s="272">
        <f>+'26-Delinquent Taxes and Liens'!I30</f>
        <v>125140.41</v>
      </c>
      <c r="H21" s="556"/>
    </row>
    <row r="22" spans="2:9" ht="21" customHeight="1">
      <c r="B22" s="5"/>
      <c r="C22" s="5" t="s">
        <v>357</v>
      </c>
      <c r="D22" s="5"/>
      <c r="E22" s="5"/>
      <c r="F22" s="5"/>
      <c r="G22" s="272">
        <f>+'27-Foreclosed Property'!L20</f>
        <v>0</v>
      </c>
      <c r="H22" s="556"/>
    </row>
    <row r="23" spans="2:9" ht="21" customHeight="1">
      <c r="B23" s="5"/>
      <c r="C23" s="571" t="s">
        <v>3218</v>
      </c>
      <c r="D23" s="563"/>
      <c r="E23" s="563"/>
      <c r="F23" s="563"/>
      <c r="G23" s="569">
        <f>'27-Foreclosed Property'!L30</f>
        <v>0</v>
      </c>
      <c r="H23" s="195"/>
      <c r="I23" s="238"/>
    </row>
    <row r="24" spans="2:9" ht="21" customHeight="1">
      <c r="B24" s="5"/>
      <c r="C24" s="571" t="s">
        <v>3219</v>
      </c>
      <c r="D24" s="563"/>
      <c r="E24" s="563"/>
      <c r="F24" s="563"/>
      <c r="G24" s="569">
        <f>'27-Foreclosed Property'!L40</f>
        <v>0</v>
      </c>
      <c r="H24" s="195"/>
      <c r="I24" s="204"/>
    </row>
    <row r="25" spans="2:9" ht="21" customHeight="1">
      <c r="B25" s="5"/>
      <c r="C25" s="418" t="s">
        <v>3740</v>
      </c>
      <c r="D25" s="418"/>
      <c r="E25" s="417"/>
      <c r="F25" s="417"/>
      <c r="G25" s="289">
        <v>2705.45</v>
      </c>
      <c r="H25" s="438"/>
    </row>
    <row r="26" spans="2:9" ht="21" customHeight="1">
      <c r="B26" s="5"/>
      <c r="C26" s="418" t="s">
        <v>3698</v>
      </c>
      <c r="D26" s="417"/>
      <c r="E26" s="417"/>
      <c r="F26" s="417"/>
      <c r="G26" s="289">
        <v>125140.38</v>
      </c>
      <c r="H26" s="438"/>
    </row>
    <row r="27" spans="2:9" ht="21" customHeight="1">
      <c r="B27" s="5"/>
      <c r="C27" s="418" t="s">
        <v>3741</v>
      </c>
      <c r="D27" s="417"/>
      <c r="E27" s="417"/>
      <c r="F27" s="417"/>
      <c r="G27" s="289">
        <v>200200.71</v>
      </c>
      <c r="H27" s="438"/>
      <c r="I27" s="204"/>
    </row>
    <row r="28" spans="2:9" ht="21" customHeight="1">
      <c r="B28" s="5"/>
      <c r="C28" s="417"/>
      <c r="D28" s="417"/>
      <c r="E28" s="417"/>
      <c r="F28" s="417"/>
      <c r="G28" s="289"/>
      <c r="H28" s="438"/>
      <c r="I28" s="204"/>
    </row>
    <row r="29" spans="2:9" ht="21" customHeight="1">
      <c r="B29" s="5"/>
      <c r="C29" s="417"/>
      <c r="D29" s="417"/>
      <c r="E29" s="417"/>
      <c r="F29" s="417"/>
      <c r="G29" s="289"/>
      <c r="H29" s="438"/>
      <c r="I29" s="204"/>
    </row>
    <row r="30" spans="2:9" ht="21" customHeight="1">
      <c r="B30" s="5"/>
      <c r="C30" s="418"/>
      <c r="D30" s="417"/>
      <c r="E30" s="417"/>
      <c r="F30" s="417"/>
      <c r="G30" s="289"/>
      <c r="H30" s="438"/>
      <c r="I30" s="239"/>
    </row>
    <row r="31" spans="2:9" ht="21" customHeight="1">
      <c r="B31" s="5"/>
      <c r="C31" s="417"/>
      <c r="D31" s="417"/>
      <c r="E31" s="417"/>
      <c r="F31" s="417"/>
      <c r="G31" s="289"/>
      <c r="H31" s="438"/>
      <c r="I31" s="239"/>
    </row>
    <row r="32" spans="2:9" ht="21" customHeight="1">
      <c r="B32" s="5"/>
      <c r="C32" s="417"/>
      <c r="D32" s="417"/>
      <c r="E32" s="417"/>
      <c r="F32" s="417"/>
      <c r="G32" s="289"/>
      <c r="H32" s="438"/>
      <c r="I32" s="239"/>
    </row>
    <row r="33" spans="2:9" ht="21" customHeight="1">
      <c r="B33" s="263"/>
      <c r="C33" s="418"/>
      <c r="D33" s="417"/>
      <c r="E33" s="417"/>
      <c r="F33" s="417"/>
      <c r="G33" s="289"/>
      <c r="H33" s="438"/>
      <c r="I33" s="239"/>
    </row>
    <row r="34" spans="2:9" ht="21" customHeight="1">
      <c r="B34" s="5"/>
      <c r="C34" s="292"/>
      <c r="D34" s="417"/>
      <c r="E34" s="417"/>
      <c r="F34" s="417"/>
      <c r="G34" s="289"/>
      <c r="H34" s="438"/>
      <c r="I34" s="239"/>
    </row>
    <row r="35" spans="2:9" ht="21" customHeight="1">
      <c r="B35" s="5"/>
      <c r="C35" s="292"/>
      <c r="D35" s="417"/>
      <c r="E35" s="417"/>
      <c r="F35" s="417"/>
      <c r="G35" s="289"/>
      <c r="H35" s="438"/>
    </row>
    <row r="36" spans="2:9" ht="21" customHeight="1">
      <c r="B36" s="5"/>
      <c r="C36" s="292"/>
      <c r="D36" s="614"/>
      <c r="E36" s="613"/>
      <c r="F36" s="417"/>
      <c r="G36" s="289"/>
      <c r="H36" s="438"/>
    </row>
    <row r="37" spans="2:9" ht="21" customHeight="1">
      <c r="B37" s="5"/>
      <c r="C37" s="5" t="s">
        <v>791</v>
      </c>
      <c r="D37" s="5"/>
      <c r="E37" s="5"/>
      <c r="F37" s="5"/>
      <c r="G37" s="290"/>
      <c r="H37" s="195"/>
    </row>
    <row r="38" spans="2:9" ht="21" customHeight="1">
      <c r="B38" s="5"/>
      <c r="C38" s="5"/>
      <c r="D38" s="5" t="s">
        <v>451</v>
      </c>
      <c r="E38" s="5"/>
      <c r="F38" s="5"/>
      <c r="G38" s="289"/>
      <c r="H38" s="557"/>
      <c r="I38" s="575"/>
    </row>
    <row r="39" spans="2:9" ht="21" customHeight="1">
      <c r="B39" s="5"/>
      <c r="C39" s="5"/>
      <c r="D39" s="5" t="s">
        <v>792</v>
      </c>
      <c r="E39" s="5"/>
      <c r="F39" s="5"/>
      <c r="G39" s="663">
        <f>+'29-Special Emergency'!L$24+'30-Special Emergency'!L24</f>
        <v>0</v>
      </c>
      <c r="H39" s="438"/>
      <c r="I39" s="575"/>
    </row>
    <row r="40" spans="2:9" ht="21" customHeight="1">
      <c r="B40" s="5"/>
      <c r="C40" s="5"/>
      <c r="D40" s="5" t="s">
        <v>891</v>
      </c>
      <c r="E40" s="5"/>
      <c r="F40" s="5"/>
      <c r="G40" s="647">
        <f>'19-Results of Op-Cur Fnd'!I43</f>
        <v>0</v>
      </c>
      <c r="H40" s="438"/>
      <c r="I40" s="239"/>
    </row>
    <row r="41" spans="2:9" ht="21" customHeight="1">
      <c r="B41" s="5"/>
      <c r="C41" s="292"/>
      <c r="D41" s="614"/>
      <c r="E41" s="613"/>
      <c r="F41" s="417"/>
      <c r="G41" s="289"/>
      <c r="H41" s="438"/>
    </row>
    <row r="42" spans="2:9" ht="21" customHeight="1">
      <c r="B42" s="5"/>
      <c r="C42" s="292"/>
      <c r="D42" s="614"/>
      <c r="E42" s="613"/>
      <c r="F42" s="417"/>
      <c r="G42" s="289"/>
      <c r="H42" s="438"/>
    </row>
    <row r="43" spans="2:9" ht="21" customHeight="1">
      <c r="B43" s="5"/>
      <c r="C43" s="292"/>
      <c r="D43" s="614"/>
      <c r="E43" s="613"/>
      <c r="F43" s="417"/>
      <c r="G43" s="289"/>
      <c r="H43" s="438"/>
    </row>
    <row r="44" spans="2:9" ht="21" customHeight="1">
      <c r="B44" s="5"/>
      <c r="C44" s="292"/>
      <c r="D44" s="614"/>
      <c r="E44" s="614"/>
      <c r="F44" s="417"/>
      <c r="G44" s="289"/>
      <c r="H44" s="438"/>
    </row>
    <row r="45" spans="2:9" ht="21" customHeight="1">
      <c r="B45" s="5"/>
      <c r="C45" s="292"/>
      <c r="D45" s="614"/>
      <c r="E45" s="614"/>
      <c r="F45" s="417"/>
      <c r="G45" s="289"/>
      <c r="H45" s="438"/>
    </row>
    <row r="46" spans="2:9" ht="21" customHeight="1">
      <c r="B46" s="5"/>
      <c r="C46" s="5"/>
      <c r="D46" s="5"/>
      <c r="E46" s="263" t="s">
        <v>3610</v>
      </c>
      <c r="F46" s="5"/>
      <c r="G46" s="272">
        <f>SUM(G10:G45)</f>
        <v>4302911.5</v>
      </c>
      <c r="H46" s="195">
        <f>SUM(H10:H45)</f>
        <v>5028.2000000000007</v>
      </c>
    </row>
    <row r="47" spans="2:9">
      <c r="B47" s="1158" t="s">
        <v>98</v>
      </c>
      <c r="C47" s="1158"/>
      <c r="D47" s="1158"/>
      <c r="E47" s="1158"/>
      <c r="F47" s="1158"/>
      <c r="G47" s="1158"/>
      <c r="H47" s="1158"/>
    </row>
    <row r="48" spans="2:9" ht="13.8">
      <c r="B48" s="1130" t="s">
        <v>99</v>
      </c>
      <c r="C48" s="1130"/>
      <c r="D48" s="1130"/>
      <c r="E48" s="1130"/>
      <c r="F48" s="1130"/>
      <c r="G48" s="1130"/>
      <c r="H48" s="1130"/>
    </row>
    <row r="51" spans="7:7">
      <c r="G51" s="204"/>
    </row>
  </sheetData>
  <sheetProtection algorithmName="SHA-512" hashValue="erpITqAnp7/S0nHqsk7ZGyeVu1JKFLJIYCppmuTmrQI1K7l8IIYu58jp2C4SkfdDLCiD2Rn7OCIZ3hn3yDm5bw==" saltValue="M4eUm5zMQME1IlMmRPa+QA==" spinCount="100000" sheet="1" objects="1" scenarios="1"/>
  <mergeCells count="8">
    <mergeCell ref="B47:H47"/>
    <mergeCell ref="B48:H48"/>
    <mergeCell ref="B9:F9"/>
    <mergeCell ref="B2:H2"/>
    <mergeCell ref="B4:H4"/>
    <mergeCell ref="B5:H5"/>
    <mergeCell ref="B6:H6"/>
    <mergeCell ref="B8:H8"/>
  </mergeCells>
  <phoneticPr fontId="0" type="noConversion"/>
  <pageMargins left="0.25" right="0.25" top="0.5" bottom="0.5" header="0.25" footer="0.25"/>
  <pageSetup scale="75"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6DA78-2B01-449A-9973-A90A0A9C166D}">
  <sheetPr codeName="Sheet100"/>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+'11.38 Grants Approp Rsrv'!F27</f>
        <v>630604.05000000005</v>
      </c>
      <c r="G8" s="728">
        <f>+'11.38 Grants Approp Rsrv'!G27</f>
        <v>31118.080000000002</v>
      </c>
      <c r="H8" s="728">
        <f>+'11.38 Grants Approp Rsrv'!H27</f>
        <v>0</v>
      </c>
      <c r="I8" s="728">
        <f>+'11.38 Grants Approp Rsrv'!I27</f>
        <v>466138.86</v>
      </c>
      <c r="J8" s="728">
        <f>+'11.38 Grants Approp Rsrv'!J27</f>
        <v>0</v>
      </c>
      <c r="K8" s="728">
        <f>+'11.38 Grants Approp Rsrv'!K27</f>
        <v>0</v>
      </c>
      <c r="L8" s="729">
        <f>+'11.38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3327</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RxvkjbUzO9vcNXk0fOdKTQO3PnNuWL1J9EOG47lE0tG0howT+U6ShcfEzT9Nh7eRQbeUrGVJRq8wzXKSziI4aA==" saltValue="aQyBsVBKpcHeiRcOPAwhvA=="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67239-8FF1-4497-AEC1-591F7F9AB928}">
  <sheetPr codeName="Sheet101"/>
  <dimension ref="A2:O34"/>
  <sheetViews>
    <sheetView zoomScaleNormal="100" workbookViewId="0">
      <selection activeCell="F9" sqref="F9:F26"/>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+'11.39 Grants Approp Rsrv'!F27</f>
        <v>630604.05000000005</v>
      </c>
      <c r="G8" s="728">
        <f>+'11.39 Grants Approp Rsrv'!G27</f>
        <v>31118.080000000002</v>
      </c>
      <c r="H8" s="728">
        <f>+'11.39 Grants Approp Rsrv'!H27</f>
        <v>0</v>
      </c>
      <c r="I8" s="728">
        <f>+'11.39 Grants Approp Rsrv'!I27</f>
        <v>466138.86</v>
      </c>
      <c r="J8" s="728">
        <f>+'11.39 Grants Approp Rsrv'!J27</f>
        <v>0</v>
      </c>
      <c r="K8" s="728">
        <f>+'11.39 Grants Approp Rsrv'!K27</f>
        <v>0</v>
      </c>
      <c r="L8" s="729">
        <f>+'11.39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3328</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A17" s="1220"/>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3288</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pDCUxvGBaibAv5F6LmlfVE/w9Qa0pe1Yhr6UNMoVKAzgXeS+XculQPcu4/p/Rg3WuL0hvanTGIGNjkKpexXdyQ==" saltValue="Y0F5IYL+g8rGMHnBGmgaew==" spinCount="100000" sheet="1" objects="1" scenarios="1"/>
  <mergeCells count="6">
    <mergeCell ref="A15:A17"/>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02"/>
  <dimension ref="A1:N32"/>
  <sheetViews>
    <sheetView zoomScaleNormal="100" workbookViewId="0">
      <selection activeCell="K8" sqref="K8"/>
    </sheetView>
  </sheetViews>
  <sheetFormatPr defaultRowHeight="13.2"/>
  <cols>
    <col min="1" max="1" width="5.6640625" customWidth="1"/>
    <col min="2" max="4" width="4.88671875" customWidth="1"/>
    <col min="5" max="5" width="48.44140625" customWidth="1"/>
    <col min="6" max="11" width="15.6640625" customWidth="1"/>
    <col min="12" max="12" width="10.5546875" bestFit="1" customWidth="1"/>
  </cols>
  <sheetData>
    <row r="1" spans="1:14">
      <c r="A1" s="239"/>
    </row>
    <row r="2" spans="1:14" ht="20.399999999999999">
      <c r="B2" s="1131" t="s">
        <v>238</v>
      </c>
      <c r="C2" s="1131"/>
      <c r="D2" s="1131"/>
      <c r="E2" s="1131"/>
      <c r="F2" s="1131"/>
      <c r="G2" s="1131"/>
      <c r="H2" s="1131"/>
      <c r="I2" s="1131"/>
      <c r="J2" s="1131"/>
      <c r="K2" s="1131"/>
    </row>
    <row r="3" spans="1:14" ht="21" thickBot="1">
      <c r="B3" s="1131" t="s">
        <v>106</v>
      </c>
      <c r="C3" s="1131"/>
      <c r="D3" s="1131"/>
      <c r="E3" s="1131"/>
      <c r="F3" s="1131"/>
      <c r="G3" s="1131"/>
      <c r="H3" s="1131"/>
      <c r="I3" s="1131"/>
      <c r="J3" s="1131"/>
      <c r="K3" s="1131"/>
    </row>
    <row r="4" spans="1:14" ht="13.8" thickTop="1">
      <c r="B4" s="11"/>
      <c r="C4" s="11"/>
      <c r="D4" s="11"/>
      <c r="E4" s="11"/>
      <c r="F4" s="12"/>
      <c r="G4" s="1216" t="str">
        <f>IF('KEY INPUTS'!C42="State Fiscal Year","Transferred from FY "&amp;'KEY INPUTS'!D33&amp;"","Transferred from "&amp;TEXT('KEY INPUTS'!D34,"0")&amp;"")</f>
        <v>Transferred from 2024</v>
      </c>
      <c r="H4" s="1217"/>
      <c r="I4" s="12"/>
      <c r="J4" s="11"/>
      <c r="K4" s="18"/>
      <c r="L4" s="601"/>
    </row>
    <row r="5" spans="1:14">
      <c r="B5" s="1174" t="s">
        <v>638</v>
      </c>
      <c r="C5" s="1174"/>
      <c r="D5" s="1174"/>
      <c r="E5" s="1214"/>
      <c r="F5" s="13" t="s">
        <v>529</v>
      </c>
      <c r="G5" s="1218" t="s">
        <v>234</v>
      </c>
      <c r="H5" s="1219"/>
      <c r="I5" s="13" t="s">
        <v>637</v>
      </c>
      <c r="J5" s="548" t="s">
        <v>218</v>
      </c>
      <c r="K5" s="21" t="s">
        <v>529</v>
      </c>
    </row>
    <row r="6" spans="1:14">
      <c r="F6" s="245" t="str">
        <f>IF('KEY INPUTS'!C42 = "State Fiscal Year", 'KEY INPUTS'!F48,'KEY INPUTS'!D48)</f>
        <v>Jan. 1, 2024</v>
      </c>
      <c r="G6" s="13" t="s">
        <v>534</v>
      </c>
      <c r="H6" s="13" t="s">
        <v>232</v>
      </c>
      <c r="I6" s="13"/>
      <c r="J6" s="20"/>
      <c r="K6" s="244" t="str">
        <f>IF('KEY INPUTS'!C42 = "State Fiscal Year", 'KEY INPUTS'!F47,'KEY INPUTS'!D47)</f>
        <v>Dec. 31, 2024</v>
      </c>
    </row>
    <row r="7" spans="1:14" ht="13.8" thickBot="1">
      <c r="B7" s="10"/>
      <c r="C7" s="10"/>
      <c r="D7" s="10"/>
      <c r="E7" s="10"/>
      <c r="F7" s="14"/>
      <c r="G7" s="16"/>
      <c r="H7" s="16" t="s">
        <v>233</v>
      </c>
      <c r="I7" s="14"/>
      <c r="J7" s="17"/>
      <c r="K7" s="19"/>
    </row>
    <row r="8" spans="1:14" ht="21" customHeight="1" thickTop="1">
      <c r="B8" s="420"/>
      <c r="C8" s="488"/>
      <c r="D8" s="420"/>
      <c r="E8" s="553"/>
      <c r="F8" s="422"/>
      <c r="G8" s="422"/>
      <c r="H8" s="422"/>
      <c r="I8" s="422"/>
      <c r="J8" s="422"/>
      <c r="K8" s="126">
        <f>F8-G8-H8+I8+J8</f>
        <v>0</v>
      </c>
    </row>
    <row r="9" spans="1:14" ht="21" customHeight="1">
      <c r="B9" s="417"/>
      <c r="C9" s="418"/>
      <c r="D9" s="417"/>
      <c r="E9" s="428"/>
      <c r="F9" s="291"/>
      <c r="G9" s="291"/>
      <c r="H9" s="291"/>
      <c r="I9" s="291"/>
      <c r="J9" s="291"/>
      <c r="K9" s="126">
        <f t="shared" ref="K9:K26" si="0">F9-G9-H9+I9+J9</f>
        <v>0</v>
      </c>
    </row>
    <row r="10" spans="1:14" ht="21" customHeight="1">
      <c r="B10" s="417"/>
      <c r="C10" s="417"/>
      <c r="D10" s="417"/>
      <c r="E10" s="428"/>
      <c r="F10" s="291"/>
      <c r="G10" s="291"/>
      <c r="H10" s="291"/>
      <c r="I10" s="291"/>
      <c r="J10" s="291"/>
      <c r="K10" s="126">
        <f t="shared" si="0"/>
        <v>0</v>
      </c>
    </row>
    <row r="11" spans="1:14" ht="21" customHeight="1">
      <c r="B11" s="417"/>
      <c r="C11" s="417"/>
      <c r="D11" s="417"/>
      <c r="E11" s="428"/>
      <c r="F11" s="291"/>
      <c r="G11" s="291"/>
      <c r="H11" s="291"/>
      <c r="I11" s="291"/>
      <c r="J11" s="291"/>
      <c r="K11" s="126">
        <f t="shared" si="0"/>
        <v>0</v>
      </c>
      <c r="L11" s="204"/>
    </row>
    <row r="12" spans="1:14" ht="21" customHeight="1">
      <c r="B12" s="417"/>
      <c r="C12" s="417"/>
      <c r="D12" s="417"/>
      <c r="E12" s="428"/>
      <c r="F12" s="291"/>
      <c r="G12" s="291"/>
      <c r="H12" s="291"/>
      <c r="I12" s="291"/>
      <c r="J12" s="291"/>
      <c r="K12" s="126">
        <f t="shared" si="0"/>
        <v>0</v>
      </c>
    </row>
    <row r="13" spans="1:14" ht="21" customHeight="1">
      <c r="B13" s="417"/>
      <c r="C13" s="417"/>
      <c r="D13" s="417"/>
      <c r="E13" s="428"/>
      <c r="F13" s="291"/>
      <c r="G13" s="291"/>
      <c r="H13" s="291"/>
      <c r="I13" s="291"/>
      <c r="J13" s="291"/>
      <c r="K13" s="126">
        <f t="shared" si="0"/>
        <v>0</v>
      </c>
      <c r="L13" s="204"/>
    </row>
    <row r="14" spans="1:14" ht="21" customHeight="1">
      <c r="B14" s="417"/>
      <c r="C14" s="417"/>
      <c r="D14" s="417"/>
      <c r="E14" s="428"/>
      <c r="F14" s="291"/>
      <c r="G14" s="291"/>
      <c r="H14" s="291"/>
      <c r="I14" s="291"/>
      <c r="J14" s="291"/>
      <c r="K14" s="126">
        <f t="shared" si="0"/>
        <v>0</v>
      </c>
      <c r="N14" s="294"/>
    </row>
    <row r="15" spans="1:14" ht="21" customHeight="1">
      <c r="A15" s="1195" t="s">
        <v>237</v>
      </c>
      <c r="B15" s="417"/>
      <c r="C15" s="417"/>
      <c r="D15" s="417"/>
      <c r="E15" s="428"/>
      <c r="F15" s="291"/>
      <c r="G15" s="291"/>
      <c r="H15" s="291"/>
      <c r="I15" s="291"/>
      <c r="J15" s="291"/>
      <c r="K15" s="126">
        <f t="shared" si="0"/>
        <v>0</v>
      </c>
      <c r="L15" s="204"/>
    </row>
    <row r="16" spans="1:14" ht="21" customHeight="1">
      <c r="A16" s="1195"/>
      <c r="B16" s="417"/>
      <c r="C16" s="417"/>
      <c r="D16" s="417"/>
      <c r="E16" s="428"/>
      <c r="F16" s="291"/>
      <c r="G16" s="291"/>
      <c r="H16" s="291"/>
      <c r="I16" s="291"/>
      <c r="J16" s="291"/>
      <c r="K16" s="126">
        <f t="shared" si="0"/>
        <v>0</v>
      </c>
    </row>
    <row r="17" spans="1:12" ht="21" customHeight="1">
      <c r="A17" s="1195"/>
      <c r="B17" s="417"/>
      <c r="C17" s="417"/>
      <c r="D17" s="417"/>
      <c r="E17" s="428"/>
      <c r="F17" s="291"/>
      <c r="G17" s="291"/>
      <c r="H17" s="291"/>
      <c r="I17" s="291"/>
      <c r="J17" s="291"/>
      <c r="K17" s="126">
        <f t="shared" si="0"/>
        <v>0</v>
      </c>
      <c r="L17" s="204"/>
    </row>
    <row r="18" spans="1:12" ht="21" customHeight="1">
      <c r="B18" s="417"/>
      <c r="C18" s="417"/>
      <c r="D18" s="417"/>
      <c r="E18" s="428"/>
      <c r="F18" s="291"/>
      <c r="G18" s="291"/>
      <c r="H18" s="291"/>
      <c r="I18" s="291"/>
      <c r="J18" s="291"/>
      <c r="K18" s="126">
        <f t="shared" si="0"/>
        <v>0</v>
      </c>
    </row>
    <row r="19" spans="1:12" ht="21" customHeight="1">
      <c r="B19" s="417"/>
      <c r="C19" s="417"/>
      <c r="D19" s="417"/>
      <c r="E19" s="428"/>
      <c r="F19" s="291"/>
      <c r="G19" s="291"/>
      <c r="H19" s="291"/>
      <c r="I19" s="291"/>
      <c r="J19" s="291"/>
      <c r="K19" s="126">
        <f t="shared" si="0"/>
        <v>0</v>
      </c>
      <c r="L19" s="204"/>
    </row>
    <row r="20" spans="1:12" ht="21" customHeight="1">
      <c r="B20" s="417"/>
      <c r="C20" s="417"/>
      <c r="D20" s="417"/>
      <c r="E20" s="428"/>
      <c r="F20" s="291"/>
      <c r="G20" s="291"/>
      <c r="H20" s="291"/>
      <c r="I20" s="291"/>
      <c r="J20" s="291"/>
      <c r="K20" s="126">
        <f t="shared" si="0"/>
        <v>0</v>
      </c>
    </row>
    <row r="21" spans="1:12" ht="21" customHeight="1">
      <c r="B21" s="417"/>
      <c r="C21" s="417"/>
      <c r="D21" s="417"/>
      <c r="E21" s="428"/>
      <c r="F21" s="291"/>
      <c r="G21" s="291"/>
      <c r="H21" s="291"/>
      <c r="I21" s="291"/>
      <c r="J21" s="291"/>
      <c r="K21" s="126">
        <f t="shared" si="0"/>
        <v>0</v>
      </c>
    </row>
    <row r="22" spans="1:12" ht="21" customHeight="1">
      <c r="B22" s="417"/>
      <c r="C22" s="417"/>
      <c r="D22" s="417"/>
      <c r="E22" s="428"/>
      <c r="F22" s="291"/>
      <c r="G22" s="291"/>
      <c r="H22" s="291"/>
      <c r="I22" s="291"/>
      <c r="J22" s="291"/>
      <c r="K22" s="126">
        <f t="shared" si="0"/>
        <v>0</v>
      </c>
    </row>
    <row r="23" spans="1:12" ht="21" customHeight="1">
      <c r="B23" s="417"/>
      <c r="C23" s="417"/>
      <c r="D23" s="417"/>
      <c r="E23" s="428"/>
      <c r="F23" s="291"/>
      <c r="G23" s="291"/>
      <c r="H23" s="291"/>
      <c r="I23" s="291"/>
      <c r="J23" s="291"/>
      <c r="K23" s="126">
        <f t="shared" si="0"/>
        <v>0</v>
      </c>
      <c r="L23" s="204"/>
    </row>
    <row r="24" spans="1:12" ht="21" customHeight="1">
      <c r="B24" s="417"/>
      <c r="C24" s="417"/>
      <c r="D24" s="417"/>
      <c r="E24" s="428"/>
      <c r="F24" s="291"/>
      <c r="G24" s="291"/>
      <c r="H24" s="291"/>
      <c r="I24" s="291"/>
      <c r="J24" s="291"/>
      <c r="K24" s="126">
        <f t="shared" si="0"/>
        <v>0</v>
      </c>
    </row>
    <row r="25" spans="1:12" ht="21" customHeight="1">
      <c r="B25" s="417"/>
      <c r="C25" s="417"/>
      <c r="D25" s="417"/>
      <c r="E25" s="428"/>
      <c r="F25" s="291"/>
      <c r="G25" s="291"/>
      <c r="H25" s="291"/>
      <c r="I25" s="291"/>
      <c r="J25" s="291"/>
      <c r="K25" s="126">
        <f t="shared" si="0"/>
        <v>0</v>
      </c>
      <c r="L25" s="204"/>
    </row>
    <row r="26" spans="1:12" ht="21" customHeight="1">
      <c r="B26" s="417"/>
      <c r="C26" s="417"/>
      <c r="D26" s="417"/>
      <c r="E26" s="428"/>
      <c r="F26" s="291"/>
      <c r="G26" s="291"/>
      <c r="H26" s="291"/>
      <c r="I26" s="291"/>
      <c r="J26" s="291"/>
      <c r="K26" s="126">
        <f t="shared" si="0"/>
        <v>0</v>
      </c>
    </row>
    <row r="27" spans="1:12" ht="21" customHeight="1" thickBot="1">
      <c r="B27" s="27"/>
      <c r="C27" s="264" t="s">
        <v>3262</v>
      </c>
      <c r="D27" s="27"/>
      <c r="E27" s="41"/>
      <c r="F27" s="95">
        <f>SUM(F8:F26)</f>
        <v>0</v>
      </c>
      <c r="G27" s="95">
        <f t="shared" ref="G27:K27" si="1">SUM(G8:G26)</f>
        <v>0</v>
      </c>
      <c r="H27" s="95">
        <f t="shared" si="1"/>
        <v>0</v>
      </c>
      <c r="I27" s="95">
        <f>SUM(I8:I26)</f>
        <v>0</v>
      </c>
      <c r="J27" s="95">
        <f t="shared" si="1"/>
        <v>0</v>
      </c>
      <c r="K27" s="128">
        <f t="shared" si="1"/>
        <v>0</v>
      </c>
      <c r="L27" s="550"/>
    </row>
    <row r="28" spans="1:12" ht="13.8" thickTop="1"/>
    <row r="29" spans="1:12">
      <c r="K29" s="204"/>
    </row>
    <row r="30" spans="1:12">
      <c r="F30" s="204"/>
      <c r="G30" s="204"/>
      <c r="J30" s="204"/>
      <c r="K30" s="204"/>
    </row>
    <row r="32" spans="1:12">
      <c r="K32" s="204"/>
    </row>
  </sheetData>
  <sheetProtection algorithmName="SHA-512" hashValue="36r42ee8di3mhHAHyklgZj6L2zeShBoZfYwtwWFPvStvNEgQxVMZ/L3RLKOsobSe1w78FMvb9Ryv/VosiaPRyw==" saltValue="BOx97BCy1+p9wY8gpahQ6w==" spinCount="100000" sheet="1" objects="1" scenarios="1"/>
  <mergeCells count="6">
    <mergeCell ref="B2:K2"/>
    <mergeCell ref="B3:K3"/>
    <mergeCell ref="A15:A17"/>
    <mergeCell ref="B5:E5"/>
    <mergeCell ref="G4:H4"/>
    <mergeCell ref="G5:H5"/>
  </mergeCells>
  <phoneticPr fontId="0" type="noConversion"/>
  <pageMargins left="0.25" right="0.25" top="0.5" bottom="0.5" header="0.25" footer="0.25"/>
  <pageSetup paperSize="5" scale="98"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BF0A8-CB22-424F-AF64-565658D55366}">
  <sheetPr codeName="Sheet103"/>
  <dimension ref="A1:N32"/>
  <sheetViews>
    <sheetView zoomScaleNormal="100" workbookViewId="0">
      <selection activeCell="G5" sqref="G5:H5"/>
    </sheetView>
  </sheetViews>
  <sheetFormatPr defaultColWidth="9.109375" defaultRowHeight="13.2"/>
  <cols>
    <col min="1" max="1" width="5.6640625" customWidth="1"/>
    <col min="2" max="4" width="4.88671875" customWidth="1"/>
    <col min="5" max="5" width="48.44140625" customWidth="1"/>
    <col min="6" max="11" width="15.6640625" customWidth="1"/>
    <col min="12" max="12" width="10.5546875" bestFit="1" customWidth="1"/>
  </cols>
  <sheetData>
    <row r="1" spans="1:14">
      <c r="A1" s="239"/>
    </row>
    <row r="2" spans="1:14" ht="20.399999999999999">
      <c r="B2" s="1131" t="s">
        <v>238</v>
      </c>
      <c r="C2" s="1131"/>
      <c r="D2" s="1131"/>
      <c r="E2" s="1131"/>
      <c r="F2" s="1131"/>
      <c r="G2" s="1131"/>
      <c r="H2" s="1131"/>
      <c r="I2" s="1131"/>
      <c r="J2" s="1131"/>
      <c r="K2" s="1131"/>
    </row>
    <row r="3" spans="1:14" ht="21" thickBot="1">
      <c r="B3" s="1131" t="s">
        <v>106</v>
      </c>
      <c r="C3" s="1131"/>
      <c r="D3" s="1131"/>
      <c r="E3" s="1131"/>
      <c r="F3" s="1131"/>
      <c r="G3" s="1131"/>
      <c r="H3" s="1131"/>
      <c r="I3" s="1131"/>
      <c r="J3" s="1131"/>
      <c r="K3" s="1131"/>
    </row>
    <row r="4" spans="1:14" ht="13.8" thickTop="1">
      <c r="B4" s="11"/>
      <c r="C4" s="11"/>
      <c r="D4" s="11"/>
      <c r="E4" s="11"/>
      <c r="F4" s="12"/>
      <c r="G4" s="1216" t="str">
        <f>IF('KEY INPUTS'!C42="State Fiscal Year","Transferred from FY "&amp;'KEY INPUTS'!D33&amp;"","Transferred from "&amp;TEXT('KEY INPUTS'!D34,"0")&amp;"")</f>
        <v>Transferred from 2024</v>
      </c>
      <c r="H4" s="1217"/>
      <c r="I4" s="12"/>
      <c r="J4" s="11"/>
      <c r="K4" s="18"/>
      <c r="L4" s="601"/>
    </row>
    <row r="5" spans="1:14">
      <c r="B5" s="1174" t="s">
        <v>638</v>
      </c>
      <c r="C5" s="1174"/>
      <c r="D5" s="1174"/>
      <c r="E5" s="1214"/>
      <c r="F5" s="13" t="s">
        <v>529</v>
      </c>
      <c r="G5" s="1218" t="s">
        <v>234</v>
      </c>
      <c r="H5" s="1219"/>
      <c r="I5" s="13" t="s">
        <v>637</v>
      </c>
      <c r="J5" s="548" t="s">
        <v>218</v>
      </c>
      <c r="K5" s="21" t="s">
        <v>529</v>
      </c>
    </row>
    <row r="6" spans="1:14">
      <c r="F6" s="245" t="str">
        <f>'12-Grants Unappropriated'!F6</f>
        <v>Jan. 1, 2024</v>
      </c>
      <c r="G6" s="13" t="s">
        <v>534</v>
      </c>
      <c r="H6" s="13" t="s">
        <v>232</v>
      </c>
      <c r="I6" s="13"/>
      <c r="J6" s="20"/>
      <c r="K6" s="244" t="str">
        <f>'12-Grants Unappropriated'!K6</f>
        <v>Dec. 31, 2024</v>
      </c>
    </row>
    <row r="7" spans="1:14" ht="13.8" thickBot="1">
      <c r="B7" s="10"/>
      <c r="C7" s="10"/>
      <c r="D7" s="10"/>
      <c r="E7" s="10"/>
      <c r="F7" s="14"/>
      <c r="G7" s="16"/>
      <c r="H7" s="16" t="s">
        <v>233</v>
      </c>
      <c r="I7" s="14"/>
      <c r="J7" s="17"/>
      <c r="K7" s="19"/>
    </row>
    <row r="8" spans="1:14" ht="21" customHeight="1" thickTop="1">
      <c r="B8" s="22"/>
      <c r="C8" s="730" t="s">
        <v>3263</v>
      </c>
      <c r="D8" s="22"/>
      <c r="E8" s="730"/>
      <c r="F8" s="657">
        <f>+'12-Grants Unappropriated'!F27</f>
        <v>0</v>
      </c>
      <c r="G8" s="657">
        <f>+'12-Grants Unappropriated'!G27</f>
        <v>0</v>
      </c>
      <c r="H8" s="657">
        <f>+'12-Grants Unappropriated'!H27</f>
        <v>0</v>
      </c>
      <c r="I8" s="657">
        <f>+'12-Grants Unappropriated'!I27</f>
        <v>0</v>
      </c>
      <c r="J8" s="657">
        <f>+'12-Grants Unappropriated'!J27</f>
        <v>0</v>
      </c>
      <c r="K8" s="630">
        <f>+'12-Grants Unappropriated'!K27</f>
        <v>0</v>
      </c>
    </row>
    <row r="9" spans="1:14" ht="21" customHeight="1">
      <c r="B9" s="417"/>
      <c r="C9" s="418"/>
      <c r="D9" s="417"/>
      <c r="E9" s="428"/>
      <c r="F9" s="291"/>
      <c r="G9" s="291"/>
      <c r="H9" s="291"/>
      <c r="I9" s="291"/>
      <c r="J9" s="291"/>
      <c r="K9" s="126">
        <f t="shared" ref="K9:K26" si="0">F9-G9-H9+I9+J9</f>
        <v>0</v>
      </c>
    </row>
    <row r="10" spans="1:14" ht="21" customHeight="1">
      <c r="B10" s="417"/>
      <c r="C10" s="512"/>
      <c r="D10" s="292"/>
      <c r="E10" s="602"/>
      <c r="F10" s="510"/>
      <c r="G10" s="510"/>
      <c r="H10" s="510"/>
      <c r="I10" s="510"/>
      <c r="J10" s="510"/>
      <c r="K10" s="126">
        <f t="shared" si="0"/>
        <v>0</v>
      </c>
    </row>
    <row r="11" spans="1:14" ht="21" customHeight="1">
      <c r="B11" s="417"/>
      <c r="C11" s="417"/>
      <c r="D11" s="417"/>
      <c r="E11" s="428"/>
      <c r="F11" s="291"/>
      <c r="G11" s="291"/>
      <c r="H11" s="291"/>
      <c r="I11" s="291"/>
      <c r="J11" s="291"/>
      <c r="K11" s="126">
        <f t="shared" si="0"/>
        <v>0</v>
      </c>
      <c r="L11" s="204"/>
    </row>
    <row r="12" spans="1:14" ht="21" customHeight="1">
      <c r="B12" s="417"/>
      <c r="C12" s="417"/>
      <c r="D12" s="417"/>
      <c r="E12" s="428"/>
      <c r="F12" s="291"/>
      <c r="G12" s="291"/>
      <c r="H12" s="291"/>
      <c r="I12" s="291"/>
      <c r="J12" s="291"/>
      <c r="K12" s="126">
        <f t="shared" si="0"/>
        <v>0</v>
      </c>
    </row>
    <row r="13" spans="1:14" ht="21" customHeight="1">
      <c r="B13" s="417"/>
      <c r="C13" s="417"/>
      <c r="D13" s="417"/>
      <c r="E13" s="428"/>
      <c r="F13" s="291"/>
      <c r="G13" s="291"/>
      <c r="H13" s="291"/>
      <c r="I13" s="291"/>
      <c r="J13" s="291"/>
      <c r="K13" s="126">
        <f t="shared" si="0"/>
        <v>0</v>
      </c>
      <c r="L13" s="204"/>
    </row>
    <row r="14" spans="1:14" ht="21" customHeight="1">
      <c r="B14" s="417"/>
      <c r="C14" s="417"/>
      <c r="D14" s="417"/>
      <c r="E14" s="428"/>
      <c r="F14" s="291"/>
      <c r="G14" s="291"/>
      <c r="H14" s="291"/>
      <c r="I14" s="291"/>
      <c r="J14" s="291"/>
      <c r="K14" s="126">
        <f t="shared" si="0"/>
        <v>0</v>
      </c>
      <c r="N14" s="294"/>
    </row>
    <row r="15" spans="1:14" ht="21" customHeight="1">
      <c r="A15" s="1195" t="s">
        <v>3368</v>
      </c>
      <c r="B15" s="417"/>
      <c r="C15" s="417"/>
      <c r="D15" s="417"/>
      <c r="E15" s="428"/>
      <c r="F15" s="291"/>
      <c r="G15" s="291"/>
      <c r="H15" s="291"/>
      <c r="I15" s="291"/>
      <c r="J15" s="291"/>
      <c r="K15" s="126">
        <f t="shared" si="0"/>
        <v>0</v>
      </c>
      <c r="L15" s="204"/>
    </row>
    <row r="16" spans="1:14" ht="21" customHeight="1">
      <c r="A16" s="1195"/>
      <c r="B16" s="417"/>
      <c r="C16" s="417"/>
      <c r="D16" s="417"/>
      <c r="E16" s="428"/>
      <c r="F16" s="291"/>
      <c r="G16" s="291"/>
      <c r="H16" s="291"/>
      <c r="I16" s="291"/>
      <c r="J16" s="291"/>
      <c r="K16" s="126">
        <f t="shared" si="0"/>
        <v>0</v>
      </c>
    </row>
    <row r="17" spans="1:12" ht="21" customHeight="1">
      <c r="A17" s="1195"/>
      <c r="B17" s="417"/>
      <c r="C17" s="417"/>
      <c r="D17" s="417"/>
      <c r="E17" s="428"/>
      <c r="F17" s="291"/>
      <c r="G17" s="291"/>
      <c r="H17" s="291"/>
      <c r="I17" s="291"/>
      <c r="J17" s="291"/>
      <c r="K17" s="126">
        <f t="shared" si="0"/>
        <v>0</v>
      </c>
      <c r="L17" s="204"/>
    </row>
    <row r="18" spans="1:12" ht="21" customHeight="1">
      <c r="B18" s="417"/>
      <c r="C18" s="417"/>
      <c r="D18" s="417"/>
      <c r="E18" s="428"/>
      <c r="F18" s="291"/>
      <c r="G18" s="291"/>
      <c r="H18" s="291"/>
      <c r="I18" s="291"/>
      <c r="J18" s="291"/>
      <c r="K18" s="126">
        <f t="shared" si="0"/>
        <v>0</v>
      </c>
    </row>
    <row r="19" spans="1:12" ht="21" customHeight="1">
      <c r="B19" s="417"/>
      <c r="C19" s="417"/>
      <c r="D19" s="417"/>
      <c r="E19" s="428"/>
      <c r="F19" s="291"/>
      <c r="G19" s="291"/>
      <c r="H19" s="291"/>
      <c r="I19" s="291"/>
      <c r="J19" s="291"/>
      <c r="K19" s="126">
        <f t="shared" si="0"/>
        <v>0</v>
      </c>
      <c r="L19" s="204"/>
    </row>
    <row r="20" spans="1:12" ht="21" customHeight="1">
      <c r="B20" s="417"/>
      <c r="C20" s="417"/>
      <c r="D20" s="417"/>
      <c r="E20" s="428"/>
      <c r="F20" s="291"/>
      <c r="G20" s="291"/>
      <c r="H20" s="291"/>
      <c r="I20" s="291"/>
      <c r="J20" s="291"/>
      <c r="K20" s="126">
        <f t="shared" si="0"/>
        <v>0</v>
      </c>
    </row>
    <row r="21" spans="1:12" ht="21" customHeight="1">
      <c r="B21" s="417"/>
      <c r="C21" s="417"/>
      <c r="D21" s="417"/>
      <c r="E21" s="428"/>
      <c r="F21" s="291"/>
      <c r="G21" s="291"/>
      <c r="H21" s="291"/>
      <c r="I21" s="291"/>
      <c r="J21" s="291"/>
      <c r="K21" s="126">
        <f t="shared" si="0"/>
        <v>0</v>
      </c>
    </row>
    <row r="22" spans="1:12" ht="21" customHeight="1">
      <c r="B22" s="417"/>
      <c r="C22" s="417"/>
      <c r="D22" s="417"/>
      <c r="E22" s="428"/>
      <c r="F22" s="291"/>
      <c r="G22" s="291"/>
      <c r="H22" s="291"/>
      <c r="I22" s="291"/>
      <c r="J22" s="291"/>
      <c r="K22" s="126">
        <f t="shared" si="0"/>
        <v>0</v>
      </c>
    </row>
    <row r="23" spans="1:12" ht="21" customHeight="1">
      <c r="B23" s="417"/>
      <c r="C23" s="417"/>
      <c r="D23" s="417"/>
      <c r="E23" s="428"/>
      <c r="F23" s="291"/>
      <c r="G23" s="291"/>
      <c r="H23" s="291"/>
      <c r="I23" s="291"/>
      <c r="J23" s="291"/>
      <c r="K23" s="126">
        <f t="shared" si="0"/>
        <v>0</v>
      </c>
      <c r="L23" s="204"/>
    </row>
    <row r="24" spans="1:12" ht="21" customHeight="1">
      <c r="B24" s="417"/>
      <c r="C24" s="417"/>
      <c r="D24" s="417"/>
      <c r="E24" s="428"/>
      <c r="F24" s="291"/>
      <c r="G24" s="291"/>
      <c r="H24" s="291"/>
      <c r="I24" s="291"/>
      <c r="J24" s="291"/>
      <c r="K24" s="126">
        <f t="shared" si="0"/>
        <v>0</v>
      </c>
    </row>
    <row r="25" spans="1:12" ht="21" customHeight="1">
      <c r="B25" s="417"/>
      <c r="C25" s="417"/>
      <c r="D25" s="417"/>
      <c r="E25" s="428"/>
      <c r="F25" s="291"/>
      <c r="G25" s="291"/>
      <c r="H25" s="291"/>
      <c r="I25" s="291"/>
      <c r="J25" s="291"/>
      <c r="K25" s="126">
        <f t="shared" si="0"/>
        <v>0</v>
      </c>
      <c r="L25" s="204"/>
    </row>
    <row r="26" spans="1:12" ht="21" customHeight="1">
      <c r="B26" s="417"/>
      <c r="C26" s="417"/>
      <c r="D26" s="417"/>
      <c r="E26" s="428"/>
      <c r="F26" s="291"/>
      <c r="G26" s="291"/>
      <c r="H26" s="291"/>
      <c r="I26" s="291"/>
      <c r="J26" s="291"/>
      <c r="K26" s="126">
        <f t="shared" si="0"/>
        <v>0</v>
      </c>
    </row>
    <row r="27" spans="1:12" ht="21" customHeight="1" thickBot="1">
      <c r="B27" s="27"/>
      <c r="C27" s="264" t="s">
        <v>3262</v>
      </c>
      <c r="D27" s="27"/>
      <c r="E27" s="41"/>
      <c r="F27" s="95">
        <f>SUM(F8:F26)</f>
        <v>0</v>
      </c>
      <c r="G27" s="95">
        <f t="shared" ref="G27:K27" si="1">SUM(G8:G26)</f>
        <v>0</v>
      </c>
      <c r="H27" s="95">
        <f t="shared" si="1"/>
        <v>0</v>
      </c>
      <c r="I27" s="95">
        <f>SUM(I8:I26)</f>
        <v>0</v>
      </c>
      <c r="J27" s="95">
        <f t="shared" si="1"/>
        <v>0</v>
      </c>
      <c r="K27" s="128">
        <f t="shared" si="1"/>
        <v>0</v>
      </c>
      <c r="L27" s="550"/>
    </row>
    <row r="28" spans="1:12" ht="13.8" thickTop="1"/>
    <row r="29" spans="1:12">
      <c r="K29" s="204"/>
    </row>
    <row r="30" spans="1:12">
      <c r="F30" s="204"/>
      <c r="G30" s="204"/>
      <c r="J30" s="204"/>
      <c r="K30" s="204"/>
    </row>
    <row r="32" spans="1:12">
      <c r="K32" s="204"/>
    </row>
  </sheetData>
  <sheetProtection algorithmName="SHA-512" hashValue="pO0pzVQsh+kviMUy+K0S7n0HgiHBRuYA0E/602pufX3GzuiuMCHAXEQ5thwcFiQ4nti1o2LtHX6nMYL2DvrrlQ==" saltValue="n3eUPmmP4iOMe2wqeQQRYg==" spinCount="100000" sheet="1" objects="1" scenarios="1"/>
  <mergeCells count="6">
    <mergeCell ref="A15:A17"/>
    <mergeCell ref="B2:K2"/>
    <mergeCell ref="B3:K3"/>
    <mergeCell ref="G4:H4"/>
    <mergeCell ref="B5:E5"/>
    <mergeCell ref="G5:H5"/>
  </mergeCells>
  <pageMargins left="0.25" right="0.25" top="0.5" bottom="0.5" header="0.25" footer="0.25"/>
  <pageSetup paperSize="5" scale="98"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5D3AF-7E8A-4367-8A79-E679E617256B}">
  <sheetPr codeName="Sheet104"/>
  <dimension ref="A1:N32"/>
  <sheetViews>
    <sheetView zoomScaleNormal="100" workbookViewId="0">
      <selection activeCell="G5" sqref="G5:H5"/>
    </sheetView>
  </sheetViews>
  <sheetFormatPr defaultColWidth="9.109375" defaultRowHeight="13.2"/>
  <cols>
    <col min="1" max="1" width="5.6640625" customWidth="1"/>
    <col min="2" max="4" width="4.88671875" customWidth="1"/>
    <col min="5" max="5" width="48.44140625" customWidth="1"/>
    <col min="6" max="11" width="15.6640625" customWidth="1"/>
    <col min="12" max="12" width="10.5546875" bestFit="1" customWidth="1"/>
  </cols>
  <sheetData>
    <row r="1" spans="1:14">
      <c r="A1" s="239"/>
    </row>
    <row r="2" spans="1:14" ht="20.399999999999999">
      <c r="B2" s="1131" t="s">
        <v>238</v>
      </c>
      <c r="C2" s="1131"/>
      <c r="D2" s="1131"/>
      <c r="E2" s="1131"/>
      <c r="F2" s="1131"/>
      <c r="G2" s="1131"/>
      <c r="H2" s="1131"/>
      <c r="I2" s="1131"/>
      <c r="J2" s="1131"/>
      <c r="K2" s="1131"/>
    </row>
    <row r="3" spans="1:14" ht="21" thickBot="1">
      <c r="B3" s="1131" t="s">
        <v>106</v>
      </c>
      <c r="C3" s="1131"/>
      <c r="D3" s="1131"/>
      <c r="E3" s="1131"/>
      <c r="F3" s="1131"/>
      <c r="G3" s="1131"/>
      <c r="H3" s="1131"/>
      <c r="I3" s="1131"/>
      <c r="J3" s="1131"/>
      <c r="K3" s="1131"/>
    </row>
    <row r="4" spans="1:14" ht="13.8" thickTop="1">
      <c r="B4" s="11"/>
      <c r="C4" s="11"/>
      <c r="D4" s="11"/>
      <c r="E4" s="11"/>
      <c r="F4" s="12"/>
      <c r="G4" s="1216" t="str">
        <f>IF('KEY INPUTS'!C42="State Fiscal Year","Transferred from FY "&amp;'KEY INPUTS'!D33&amp;"","Transferred from "&amp;TEXT('KEY INPUTS'!D34,"0")&amp;"")</f>
        <v>Transferred from 2024</v>
      </c>
      <c r="H4" s="1217"/>
      <c r="I4" s="12"/>
      <c r="J4" s="11"/>
      <c r="K4" s="18"/>
      <c r="L4" s="601"/>
    </row>
    <row r="5" spans="1:14">
      <c r="B5" s="1174" t="s">
        <v>638</v>
      </c>
      <c r="C5" s="1174"/>
      <c r="D5" s="1174"/>
      <c r="E5" s="1214"/>
      <c r="F5" s="13" t="s">
        <v>529</v>
      </c>
      <c r="G5" s="1218" t="s">
        <v>234</v>
      </c>
      <c r="H5" s="1219"/>
      <c r="I5" s="13" t="s">
        <v>637</v>
      </c>
      <c r="J5" s="548" t="s">
        <v>218</v>
      </c>
      <c r="K5" s="21" t="s">
        <v>529</v>
      </c>
    </row>
    <row r="6" spans="1:14">
      <c r="F6" s="245" t="str">
        <f>'12-Grants Unappropriated'!F6</f>
        <v>Jan. 1, 2024</v>
      </c>
      <c r="G6" s="13" t="s">
        <v>534</v>
      </c>
      <c r="H6" s="13" t="s">
        <v>232</v>
      </c>
      <c r="I6" s="13"/>
      <c r="J6" s="20"/>
      <c r="K6" s="244" t="str">
        <f>'12-Grants Unappropriated'!K6</f>
        <v>Dec. 31, 2024</v>
      </c>
    </row>
    <row r="7" spans="1:14" ht="13.8" thickBot="1">
      <c r="B7" s="10"/>
      <c r="C7" s="10"/>
      <c r="D7" s="10"/>
      <c r="E7" s="10"/>
      <c r="F7" s="14"/>
      <c r="G7" s="16"/>
      <c r="H7" s="16" t="s">
        <v>233</v>
      </c>
      <c r="I7" s="14"/>
      <c r="J7" s="17"/>
      <c r="K7" s="19"/>
    </row>
    <row r="8" spans="1:14" ht="21" customHeight="1" thickTop="1">
      <c r="B8" s="22"/>
      <c r="C8" s="730" t="s">
        <v>3263</v>
      </c>
      <c r="D8" s="22"/>
      <c r="E8" s="730"/>
      <c r="F8" s="657">
        <f>+'12.1-Grants Unappropriated'!F27</f>
        <v>0</v>
      </c>
      <c r="G8" s="657">
        <f>+'12.1-Grants Unappropriated'!G27</f>
        <v>0</v>
      </c>
      <c r="H8" s="657">
        <f>+'12.1-Grants Unappropriated'!H27</f>
        <v>0</v>
      </c>
      <c r="I8" s="657">
        <f>+'12.1-Grants Unappropriated'!I27</f>
        <v>0</v>
      </c>
      <c r="J8" s="657">
        <f>+'12.1-Grants Unappropriated'!J27</f>
        <v>0</v>
      </c>
      <c r="K8" s="630">
        <f>+'12.1-Grants Unappropriated'!K27</f>
        <v>0</v>
      </c>
    </row>
    <row r="9" spans="1:14" ht="21" customHeight="1">
      <c r="B9" s="417"/>
      <c r="C9" s="418"/>
      <c r="D9" s="417"/>
      <c r="E9" s="428"/>
      <c r="F9" s="291"/>
      <c r="G9" s="291"/>
      <c r="H9" s="291"/>
      <c r="I9" s="291"/>
      <c r="J9" s="291"/>
      <c r="K9" s="126">
        <f t="shared" ref="K9:K26" si="0">F9-G9-H9+I9+J9</f>
        <v>0</v>
      </c>
    </row>
    <row r="10" spans="1:14" ht="21" customHeight="1">
      <c r="B10" s="417"/>
      <c r="C10" s="512"/>
      <c r="D10" s="292"/>
      <c r="E10" s="602"/>
      <c r="F10" s="510"/>
      <c r="G10" s="510"/>
      <c r="H10" s="510"/>
      <c r="I10" s="510"/>
      <c r="J10" s="510"/>
      <c r="K10" s="126">
        <f t="shared" si="0"/>
        <v>0</v>
      </c>
    </row>
    <row r="11" spans="1:14" ht="21" customHeight="1">
      <c r="B11" s="417"/>
      <c r="C11" s="417"/>
      <c r="D11" s="417"/>
      <c r="E11" s="428"/>
      <c r="F11" s="291"/>
      <c r="G11" s="291"/>
      <c r="H11" s="291"/>
      <c r="I11" s="291"/>
      <c r="J11" s="291"/>
      <c r="K11" s="126">
        <f t="shared" si="0"/>
        <v>0</v>
      </c>
      <c r="L11" s="204"/>
    </row>
    <row r="12" spans="1:14" ht="21" customHeight="1">
      <c r="B12" s="417"/>
      <c r="C12" s="417"/>
      <c r="D12" s="417"/>
      <c r="E12" s="428"/>
      <c r="F12" s="291"/>
      <c r="G12" s="291"/>
      <c r="H12" s="291"/>
      <c r="I12" s="291"/>
      <c r="J12" s="291"/>
      <c r="K12" s="126">
        <f t="shared" si="0"/>
        <v>0</v>
      </c>
    </row>
    <row r="13" spans="1:14" ht="21" customHeight="1">
      <c r="B13" s="417"/>
      <c r="C13" s="417"/>
      <c r="D13" s="417"/>
      <c r="E13" s="428"/>
      <c r="F13" s="291"/>
      <c r="G13" s="291"/>
      <c r="H13" s="291"/>
      <c r="I13" s="291"/>
      <c r="J13" s="291"/>
      <c r="K13" s="126">
        <f t="shared" si="0"/>
        <v>0</v>
      </c>
      <c r="L13" s="204"/>
    </row>
    <row r="14" spans="1:14" ht="21" customHeight="1">
      <c r="B14" s="417"/>
      <c r="C14" s="417"/>
      <c r="D14" s="417"/>
      <c r="E14" s="428"/>
      <c r="F14" s="291"/>
      <c r="G14" s="291"/>
      <c r="H14" s="291"/>
      <c r="I14" s="291"/>
      <c r="J14" s="291"/>
      <c r="K14" s="126">
        <f t="shared" si="0"/>
        <v>0</v>
      </c>
      <c r="N14" s="294"/>
    </row>
    <row r="15" spans="1:14" ht="21" customHeight="1">
      <c r="A15" s="1195" t="s">
        <v>3329</v>
      </c>
      <c r="B15" s="417"/>
      <c r="C15" s="417"/>
      <c r="D15" s="417"/>
      <c r="E15" s="428"/>
      <c r="F15" s="291"/>
      <c r="G15" s="291"/>
      <c r="H15" s="291"/>
      <c r="I15" s="291"/>
      <c r="J15" s="291"/>
      <c r="K15" s="126">
        <f t="shared" si="0"/>
        <v>0</v>
      </c>
      <c r="L15" s="204"/>
    </row>
    <row r="16" spans="1:14" ht="21" customHeight="1">
      <c r="A16" s="1195"/>
      <c r="B16" s="417"/>
      <c r="C16" s="417"/>
      <c r="D16" s="417"/>
      <c r="E16" s="428"/>
      <c r="F16" s="291"/>
      <c r="G16" s="291"/>
      <c r="H16" s="291"/>
      <c r="I16" s="291"/>
      <c r="J16" s="291"/>
      <c r="K16" s="126">
        <f t="shared" si="0"/>
        <v>0</v>
      </c>
    </row>
    <row r="17" spans="1:12" ht="21" customHeight="1">
      <c r="A17" s="1195"/>
      <c r="B17" s="417"/>
      <c r="C17" s="417"/>
      <c r="D17" s="417"/>
      <c r="E17" s="428"/>
      <c r="F17" s="291"/>
      <c r="G17" s="291"/>
      <c r="H17" s="291"/>
      <c r="I17" s="291"/>
      <c r="J17" s="291"/>
      <c r="K17" s="126">
        <f t="shared" si="0"/>
        <v>0</v>
      </c>
      <c r="L17" s="204"/>
    </row>
    <row r="18" spans="1:12" ht="21" customHeight="1">
      <c r="B18" s="417"/>
      <c r="C18" s="417"/>
      <c r="D18" s="417"/>
      <c r="E18" s="428"/>
      <c r="F18" s="291"/>
      <c r="G18" s="291"/>
      <c r="H18" s="291"/>
      <c r="I18" s="291"/>
      <c r="J18" s="291"/>
      <c r="K18" s="126">
        <f t="shared" si="0"/>
        <v>0</v>
      </c>
    </row>
    <row r="19" spans="1:12" ht="21" customHeight="1">
      <c r="B19" s="417"/>
      <c r="C19" s="417"/>
      <c r="D19" s="417"/>
      <c r="E19" s="428"/>
      <c r="F19" s="291"/>
      <c r="G19" s="291"/>
      <c r="H19" s="291"/>
      <c r="I19" s="291"/>
      <c r="J19" s="291"/>
      <c r="K19" s="126">
        <f t="shared" si="0"/>
        <v>0</v>
      </c>
      <c r="L19" s="204"/>
    </row>
    <row r="20" spans="1:12" ht="21" customHeight="1">
      <c r="B20" s="417"/>
      <c r="C20" s="417"/>
      <c r="D20" s="417"/>
      <c r="E20" s="428"/>
      <c r="F20" s="291"/>
      <c r="G20" s="291"/>
      <c r="H20" s="291"/>
      <c r="I20" s="291"/>
      <c r="J20" s="291"/>
      <c r="K20" s="126">
        <f t="shared" si="0"/>
        <v>0</v>
      </c>
    </row>
    <row r="21" spans="1:12" ht="21" customHeight="1">
      <c r="B21" s="417"/>
      <c r="C21" s="417"/>
      <c r="D21" s="417"/>
      <c r="E21" s="428"/>
      <c r="F21" s="291"/>
      <c r="G21" s="291"/>
      <c r="H21" s="291"/>
      <c r="I21" s="291"/>
      <c r="J21" s="291"/>
      <c r="K21" s="126">
        <f t="shared" si="0"/>
        <v>0</v>
      </c>
    </row>
    <row r="22" spans="1:12" ht="21" customHeight="1">
      <c r="B22" s="417"/>
      <c r="C22" s="417"/>
      <c r="D22" s="417"/>
      <c r="E22" s="428"/>
      <c r="F22" s="291"/>
      <c r="G22" s="291"/>
      <c r="H22" s="291"/>
      <c r="I22" s="291"/>
      <c r="J22" s="291"/>
      <c r="K22" s="126">
        <f t="shared" si="0"/>
        <v>0</v>
      </c>
    </row>
    <row r="23" spans="1:12" ht="21" customHeight="1">
      <c r="B23" s="417"/>
      <c r="C23" s="417"/>
      <c r="D23" s="417"/>
      <c r="E23" s="428"/>
      <c r="F23" s="291"/>
      <c r="G23" s="291"/>
      <c r="H23" s="291"/>
      <c r="I23" s="291"/>
      <c r="J23" s="291"/>
      <c r="K23" s="126">
        <f t="shared" si="0"/>
        <v>0</v>
      </c>
      <c r="L23" s="204"/>
    </row>
    <row r="24" spans="1:12" ht="21" customHeight="1">
      <c r="B24" s="417"/>
      <c r="C24" s="417"/>
      <c r="D24" s="417"/>
      <c r="E24" s="428"/>
      <c r="F24" s="291"/>
      <c r="G24" s="291"/>
      <c r="H24" s="291"/>
      <c r="I24" s="291"/>
      <c r="J24" s="291"/>
      <c r="K24" s="126">
        <f t="shared" si="0"/>
        <v>0</v>
      </c>
    </row>
    <row r="25" spans="1:12" ht="21" customHeight="1">
      <c r="B25" s="417"/>
      <c r="C25" s="417"/>
      <c r="D25" s="417"/>
      <c r="E25" s="428"/>
      <c r="F25" s="291"/>
      <c r="G25" s="291"/>
      <c r="H25" s="291"/>
      <c r="I25" s="291"/>
      <c r="J25" s="291"/>
      <c r="K25" s="126">
        <f t="shared" si="0"/>
        <v>0</v>
      </c>
      <c r="L25" s="204"/>
    </row>
    <row r="26" spans="1:12" ht="21" customHeight="1">
      <c r="B26" s="417"/>
      <c r="C26" s="417"/>
      <c r="D26" s="417"/>
      <c r="E26" s="428"/>
      <c r="F26" s="291"/>
      <c r="G26" s="291"/>
      <c r="H26" s="291"/>
      <c r="I26" s="291"/>
      <c r="J26" s="291"/>
      <c r="K26" s="126">
        <f t="shared" si="0"/>
        <v>0</v>
      </c>
    </row>
    <row r="27" spans="1:12" ht="21" customHeight="1" thickBot="1">
      <c r="B27" s="27"/>
      <c r="C27" s="264" t="s">
        <v>3262</v>
      </c>
      <c r="D27" s="27"/>
      <c r="E27" s="41"/>
      <c r="F27" s="95">
        <f>SUM(F8:F26)</f>
        <v>0</v>
      </c>
      <c r="G27" s="95">
        <f t="shared" ref="G27:K27" si="1">SUM(G8:G26)</f>
        <v>0</v>
      </c>
      <c r="H27" s="95">
        <f t="shared" si="1"/>
        <v>0</v>
      </c>
      <c r="I27" s="95">
        <f>SUM(I8:I26)</f>
        <v>0</v>
      </c>
      <c r="J27" s="95">
        <f t="shared" si="1"/>
        <v>0</v>
      </c>
      <c r="K27" s="128">
        <f t="shared" si="1"/>
        <v>0</v>
      </c>
      <c r="L27" s="550"/>
    </row>
    <row r="28" spans="1:12" ht="13.8" thickTop="1"/>
    <row r="29" spans="1:12">
      <c r="K29" s="204"/>
    </row>
    <row r="30" spans="1:12">
      <c r="F30" s="204"/>
      <c r="G30" s="204"/>
      <c r="J30" s="204"/>
      <c r="K30" s="204"/>
    </row>
    <row r="32" spans="1:12">
      <c r="K32" s="204"/>
    </row>
  </sheetData>
  <sheetProtection algorithmName="SHA-512" hashValue="I4g1nkwysgUK64f4BKpYbX4z728LEUhBMXo/wIfmUWsDBXrbk1gzSKUzjp/D9ybQK9/1mNKvRBK369XHKhdjkQ==" saltValue="ZaqqfMMeHKzCD0Wamin9bw==" spinCount="100000" sheet="1" objects="1" scenarios="1"/>
  <mergeCells count="6">
    <mergeCell ref="A15:A17"/>
    <mergeCell ref="B2:K2"/>
    <mergeCell ref="B3:K3"/>
    <mergeCell ref="G4:H4"/>
    <mergeCell ref="B5:E5"/>
    <mergeCell ref="G5:H5"/>
  </mergeCells>
  <pageMargins left="0.25" right="0.25" top="0.5" bottom="0.5" header="0.25" footer="0.25"/>
  <pageSetup paperSize="5" scale="98"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D449C-4A82-4C54-9298-2E5247EAD276}">
  <sheetPr codeName="Sheet105">
    <pageSetUpPr fitToPage="1"/>
  </sheetPr>
  <dimension ref="A1:N32"/>
  <sheetViews>
    <sheetView topLeftCell="A4" zoomScaleNormal="100" workbookViewId="0">
      <selection activeCell="I11" sqref="I11"/>
    </sheetView>
  </sheetViews>
  <sheetFormatPr defaultColWidth="9.109375" defaultRowHeight="13.2"/>
  <cols>
    <col min="1" max="1" width="5.6640625" customWidth="1"/>
    <col min="2" max="4" width="4.88671875" customWidth="1"/>
    <col min="5" max="5" width="48.44140625" customWidth="1"/>
    <col min="6" max="11" width="15.6640625" customWidth="1"/>
    <col min="12" max="12" width="10.5546875" bestFit="1" customWidth="1"/>
  </cols>
  <sheetData>
    <row r="1" spans="1:14">
      <c r="A1" s="239"/>
    </row>
    <row r="2" spans="1:14" ht="20.399999999999999">
      <c r="B2" s="1131" t="s">
        <v>238</v>
      </c>
      <c r="C2" s="1131"/>
      <c r="D2" s="1131"/>
      <c r="E2" s="1131"/>
      <c r="F2" s="1131"/>
      <c r="G2" s="1131"/>
      <c r="H2" s="1131"/>
      <c r="I2" s="1131"/>
      <c r="J2" s="1131"/>
      <c r="K2" s="1131"/>
    </row>
    <row r="3" spans="1:14" ht="21" thickBot="1">
      <c r="B3" s="1131" t="s">
        <v>106</v>
      </c>
      <c r="C3" s="1131"/>
      <c r="D3" s="1131"/>
      <c r="E3" s="1131"/>
      <c r="F3" s="1131"/>
      <c r="G3" s="1131"/>
      <c r="H3" s="1131"/>
      <c r="I3" s="1131"/>
      <c r="J3" s="1131"/>
      <c r="K3" s="1131"/>
    </row>
    <row r="4" spans="1:14" ht="13.8" thickTop="1">
      <c r="B4" s="11"/>
      <c r="C4" s="11"/>
      <c r="D4" s="11"/>
      <c r="E4" s="11"/>
      <c r="F4" s="12"/>
      <c r="G4" s="1216" t="str">
        <f>IF('KEY INPUTS'!C42="State Fiscal Year","Transferred from FY "&amp;'KEY INPUTS'!D33&amp;"","Transferred from "&amp;TEXT('KEY INPUTS'!D34,"0")&amp;"")</f>
        <v>Transferred from 2024</v>
      </c>
      <c r="H4" s="1217"/>
      <c r="I4" s="12"/>
      <c r="J4" s="11"/>
      <c r="K4" s="18"/>
      <c r="L4" s="601"/>
    </row>
    <row r="5" spans="1:14">
      <c r="B5" s="1174" t="s">
        <v>638</v>
      </c>
      <c r="C5" s="1174"/>
      <c r="D5" s="1174"/>
      <c r="E5" s="1214"/>
      <c r="F5" s="13" t="s">
        <v>529</v>
      </c>
      <c r="G5" s="1218" t="s">
        <v>234</v>
      </c>
      <c r="H5" s="1219"/>
      <c r="I5" s="13" t="s">
        <v>637</v>
      </c>
      <c r="J5" s="548" t="s">
        <v>218</v>
      </c>
      <c r="K5" s="21" t="s">
        <v>529</v>
      </c>
    </row>
    <row r="6" spans="1:14">
      <c r="F6" s="245" t="str">
        <f>'12-Grants Unappropriated'!F6</f>
        <v>Jan. 1, 2024</v>
      </c>
      <c r="G6" s="13" t="s">
        <v>534</v>
      </c>
      <c r="H6" s="13" t="s">
        <v>232</v>
      </c>
      <c r="I6" s="13"/>
      <c r="J6" s="20"/>
      <c r="K6" s="244" t="str">
        <f>'12-Grants Unappropriated'!K6</f>
        <v>Dec. 31, 2024</v>
      </c>
    </row>
    <row r="7" spans="1:14" ht="13.8" thickBot="1">
      <c r="B7" s="10"/>
      <c r="C7" s="10"/>
      <c r="D7" s="10"/>
      <c r="E7" s="10"/>
      <c r="F7" s="14"/>
      <c r="G7" s="16"/>
      <c r="H7" s="16" t="s">
        <v>233</v>
      </c>
      <c r="I7" s="14"/>
      <c r="J7" s="17"/>
      <c r="K7" s="19"/>
    </row>
    <row r="8" spans="1:14" ht="21" customHeight="1" thickTop="1">
      <c r="B8" s="22"/>
      <c r="C8" s="730" t="s">
        <v>3263</v>
      </c>
      <c r="D8" s="22"/>
      <c r="E8" s="730"/>
      <c r="F8" s="657">
        <f>+'12.2-Grants Unappropriated'!F27</f>
        <v>0</v>
      </c>
      <c r="G8" s="657">
        <f>+'12.2-Grants Unappropriated'!G27</f>
        <v>0</v>
      </c>
      <c r="H8" s="657">
        <f>+'12.2-Grants Unappropriated'!H27</f>
        <v>0</v>
      </c>
      <c r="I8" s="657">
        <f>+'12.2-Grants Unappropriated'!I27</f>
        <v>0</v>
      </c>
      <c r="J8" s="657">
        <f>+'12.2-Grants Unappropriated'!J27</f>
        <v>0</v>
      </c>
      <c r="K8" s="630">
        <f>+'12.2-Grants Unappropriated'!K27</f>
        <v>0</v>
      </c>
    </row>
    <row r="9" spans="1:14" ht="21" customHeight="1">
      <c r="B9" s="417" t="s">
        <v>3767</v>
      </c>
      <c r="C9" s="418"/>
      <c r="D9" s="417"/>
      <c r="E9" s="428"/>
      <c r="F9" s="291">
        <v>4162.08</v>
      </c>
      <c r="G9" s="291">
        <v>4162.08</v>
      </c>
      <c r="H9" s="291"/>
      <c r="I9" s="291">
        <v>4727.34</v>
      </c>
      <c r="J9" s="291"/>
      <c r="K9" s="126">
        <f t="shared" ref="K9:K26" si="0">F9-G9-H9+I9+J9</f>
        <v>4727.34</v>
      </c>
    </row>
    <row r="10" spans="1:14" ht="21" customHeight="1">
      <c r="B10" s="417"/>
      <c r="C10" s="512"/>
      <c r="D10" s="292"/>
      <c r="E10" s="602"/>
      <c r="F10" s="510"/>
      <c r="G10" s="510"/>
      <c r="H10" s="510"/>
      <c r="I10" s="510"/>
      <c r="J10" s="510"/>
      <c r="K10" s="126">
        <f t="shared" si="0"/>
        <v>0</v>
      </c>
    </row>
    <row r="11" spans="1:14" ht="21" customHeight="1">
      <c r="B11" s="417" t="s">
        <v>3772</v>
      </c>
      <c r="C11" s="417"/>
      <c r="D11" s="417"/>
      <c r="E11" s="428"/>
      <c r="F11" s="291">
        <v>25000</v>
      </c>
      <c r="G11" s="291">
        <v>25000</v>
      </c>
      <c r="H11" s="291"/>
      <c r="I11" s="291"/>
      <c r="J11" s="291"/>
      <c r="K11" s="126">
        <f t="shared" si="0"/>
        <v>0</v>
      </c>
      <c r="L11" s="204"/>
    </row>
    <row r="12" spans="1:14" ht="21" customHeight="1">
      <c r="B12" s="417" t="s">
        <v>3773</v>
      </c>
      <c r="C12" s="417"/>
      <c r="D12" s="417"/>
      <c r="E12" s="428"/>
      <c r="F12" s="291">
        <v>1956</v>
      </c>
      <c r="G12" s="291">
        <v>1956</v>
      </c>
      <c r="H12" s="291"/>
      <c r="I12" s="291">
        <v>1835.89</v>
      </c>
      <c r="J12" s="291"/>
      <c r="K12" s="126">
        <f t="shared" si="0"/>
        <v>1835.89</v>
      </c>
    </row>
    <row r="13" spans="1:14" ht="21" customHeight="1">
      <c r="B13" s="417"/>
      <c r="C13" s="417"/>
      <c r="D13" s="417"/>
      <c r="E13" s="428"/>
      <c r="F13" s="291"/>
      <c r="G13" s="291"/>
      <c r="H13" s="291"/>
      <c r="I13" s="291"/>
      <c r="J13" s="291"/>
      <c r="K13" s="126">
        <f t="shared" si="0"/>
        <v>0</v>
      </c>
      <c r="L13" s="204"/>
    </row>
    <row r="14" spans="1:14" ht="21" customHeight="1">
      <c r="B14" s="417"/>
      <c r="C14" s="417"/>
      <c r="D14" s="417"/>
      <c r="E14" s="428"/>
      <c r="F14" s="291"/>
      <c r="G14" s="291"/>
      <c r="H14" s="291"/>
      <c r="I14" s="291"/>
      <c r="J14" s="291"/>
      <c r="K14" s="126">
        <f t="shared" si="0"/>
        <v>0</v>
      </c>
      <c r="N14" s="294"/>
    </row>
    <row r="15" spans="1:14" ht="21" customHeight="1">
      <c r="A15" s="1195" t="s">
        <v>3330</v>
      </c>
      <c r="B15" s="417"/>
      <c r="C15" s="417"/>
      <c r="D15" s="417"/>
      <c r="E15" s="428"/>
      <c r="F15" s="291"/>
      <c r="G15" s="291"/>
      <c r="H15" s="291"/>
      <c r="I15" s="291"/>
      <c r="J15" s="291"/>
      <c r="K15" s="126">
        <f t="shared" si="0"/>
        <v>0</v>
      </c>
      <c r="L15" s="204"/>
    </row>
    <row r="16" spans="1:14" ht="21" customHeight="1">
      <c r="A16" s="1195"/>
      <c r="B16" s="417"/>
      <c r="C16" s="417"/>
      <c r="D16" s="417"/>
      <c r="E16" s="428"/>
      <c r="F16" s="291"/>
      <c r="G16" s="291"/>
      <c r="H16" s="291"/>
      <c r="I16" s="291"/>
      <c r="J16" s="291"/>
      <c r="K16" s="126">
        <f t="shared" si="0"/>
        <v>0</v>
      </c>
    </row>
    <row r="17" spans="1:12" ht="21" customHeight="1">
      <c r="A17" s="1195"/>
      <c r="B17" s="417"/>
      <c r="C17" s="417"/>
      <c r="D17" s="417"/>
      <c r="E17" s="428"/>
      <c r="F17" s="291"/>
      <c r="G17" s="291"/>
      <c r="H17" s="291"/>
      <c r="I17" s="291"/>
      <c r="J17" s="291"/>
      <c r="K17" s="126">
        <f t="shared" si="0"/>
        <v>0</v>
      </c>
      <c r="L17" s="204"/>
    </row>
    <row r="18" spans="1:12" ht="21" customHeight="1">
      <c r="B18" s="417"/>
      <c r="C18" s="417"/>
      <c r="D18" s="417"/>
      <c r="E18" s="428"/>
      <c r="F18" s="291"/>
      <c r="G18" s="291"/>
      <c r="H18" s="291"/>
      <c r="I18" s="291"/>
      <c r="J18" s="291"/>
      <c r="K18" s="126">
        <f t="shared" si="0"/>
        <v>0</v>
      </c>
    </row>
    <row r="19" spans="1:12" ht="21" customHeight="1">
      <c r="B19" s="417"/>
      <c r="C19" s="417"/>
      <c r="D19" s="417"/>
      <c r="E19" s="428"/>
      <c r="F19" s="291"/>
      <c r="G19" s="291"/>
      <c r="H19" s="291"/>
      <c r="I19" s="291"/>
      <c r="J19" s="291"/>
      <c r="K19" s="126">
        <f t="shared" si="0"/>
        <v>0</v>
      </c>
      <c r="L19" s="204"/>
    </row>
    <row r="20" spans="1:12" ht="21" customHeight="1">
      <c r="B20" s="417"/>
      <c r="C20" s="417"/>
      <c r="D20" s="417"/>
      <c r="E20" s="428"/>
      <c r="F20" s="291"/>
      <c r="G20" s="291"/>
      <c r="H20" s="291"/>
      <c r="I20" s="291"/>
      <c r="J20" s="291"/>
      <c r="K20" s="126">
        <f t="shared" si="0"/>
        <v>0</v>
      </c>
    </row>
    <row r="21" spans="1:12" ht="21" customHeight="1">
      <c r="B21" s="417"/>
      <c r="C21" s="417"/>
      <c r="D21" s="417"/>
      <c r="E21" s="428"/>
      <c r="F21" s="291"/>
      <c r="G21" s="291"/>
      <c r="H21" s="291"/>
      <c r="I21" s="291"/>
      <c r="J21" s="291"/>
      <c r="K21" s="126">
        <f t="shared" si="0"/>
        <v>0</v>
      </c>
    </row>
    <row r="22" spans="1:12" ht="21" customHeight="1">
      <c r="B22" s="417"/>
      <c r="C22" s="417"/>
      <c r="D22" s="417"/>
      <c r="E22" s="428"/>
      <c r="F22" s="291"/>
      <c r="G22" s="291"/>
      <c r="H22" s="291"/>
      <c r="I22" s="291"/>
      <c r="J22" s="291"/>
      <c r="K22" s="126">
        <f t="shared" si="0"/>
        <v>0</v>
      </c>
    </row>
    <row r="23" spans="1:12" ht="21" customHeight="1">
      <c r="B23" s="417"/>
      <c r="C23" s="417"/>
      <c r="D23" s="417"/>
      <c r="E23" s="428"/>
      <c r="F23" s="291"/>
      <c r="G23" s="291"/>
      <c r="H23" s="291"/>
      <c r="I23" s="291"/>
      <c r="J23" s="291"/>
      <c r="K23" s="126">
        <f t="shared" si="0"/>
        <v>0</v>
      </c>
      <c r="L23" s="204"/>
    </row>
    <row r="24" spans="1:12" ht="21" customHeight="1">
      <c r="B24" s="417"/>
      <c r="C24" s="417"/>
      <c r="D24" s="417"/>
      <c r="E24" s="428"/>
      <c r="F24" s="291"/>
      <c r="G24" s="291"/>
      <c r="H24" s="291"/>
      <c r="I24" s="291"/>
      <c r="J24" s="291"/>
      <c r="K24" s="126">
        <f t="shared" si="0"/>
        <v>0</v>
      </c>
    </row>
    <row r="25" spans="1:12" ht="21" customHeight="1">
      <c r="B25" s="417"/>
      <c r="C25" s="417"/>
      <c r="D25" s="417"/>
      <c r="E25" s="428"/>
      <c r="F25" s="291"/>
      <c r="G25" s="291"/>
      <c r="H25" s="291"/>
      <c r="I25" s="291"/>
      <c r="J25" s="291"/>
      <c r="K25" s="126">
        <f t="shared" si="0"/>
        <v>0</v>
      </c>
      <c r="L25" s="204"/>
    </row>
    <row r="26" spans="1:12" ht="21" customHeight="1">
      <c r="B26" s="417"/>
      <c r="C26" s="417"/>
      <c r="D26" s="417"/>
      <c r="E26" s="428"/>
      <c r="F26" s="291"/>
      <c r="G26" s="291"/>
      <c r="H26" s="291"/>
      <c r="I26" s="291"/>
      <c r="J26" s="291"/>
      <c r="K26" s="126">
        <f t="shared" si="0"/>
        <v>0</v>
      </c>
    </row>
    <row r="27" spans="1:12" ht="21" customHeight="1" thickBot="1">
      <c r="B27" s="27"/>
      <c r="C27" s="264" t="s">
        <v>3288</v>
      </c>
      <c r="D27" s="27"/>
      <c r="E27" s="41"/>
      <c r="F27" s="95">
        <f>SUM(F8:F26)</f>
        <v>31118.080000000002</v>
      </c>
      <c r="G27" s="95">
        <f t="shared" ref="G27:K27" si="1">SUM(G8:G26)</f>
        <v>31118.080000000002</v>
      </c>
      <c r="H27" s="95">
        <f t="shared" si="1"/>
        <v>0</v>
      </c>
      <c r="I27" s="95">
        <f>SUM(I8:I26)</f>
        <v>6563.2300000000005</v>
      </c>
      <c r="J27" s="95">
        <f t="shared" si="1"/>
        <v>0</v>
      </c>
      <c r="K27" s="128">
        <f t="shared" si="1"/>
        <v>6563.2300000000005</v>
      </c>
      <c r="L27" s="550"/>
    </row>
    <row r="28" spans="1:12" ht="13.8" thickTop="1"/>
    <row r="29" spans="1:12">
      <c r="K29" s="204"/>
    </row>
    <row r="30" spans="1:12">
      <c r="F30" s="204"/>
      <c r="G30" s="204"/>
      <c r="J30" s="204"/>
      <c r="K30" s="204"/>
    </row>
    <row r="32" spans="1:12">
      <c r="K32" s="204"/>
    </row>
  </sheetData>
  <sheetProtection algorithmName="SHA-512" hashValue="nSdT3MNWQ1EmjNTzPYcl0rrd7cbuwrBTbPidK1Wh6PhHy0ZZI+UeLe1aBfq49dBUy7HafIXLy6JD2HVNAgVVuA==" saltValue="k2fw/b9JM24dlAwehXhLJg==" spinCount="100000" sheet="1" objects="1" scenarios="1"/>
  <mergeCells count="6">
    <mergeCell ref="A15:A17"/>
    <mergeCell ref="B2:K2"/>
    <mergeCell ref="B3:K3"/>
    <mergeCell ref="G4:H4"/>
    <mergeCell ref="B5:E5"/>
    <mergeCell ref="G5:H5"/>
  </mergeCells>
  <pageMargins left="0.25" right="0.25" top="0.5" bottom="0.5" header="0.25" footer="0.25"/>
  <pageSetup scale="84"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6"/>
  <dimension ref="B5:M50"/>
  <sheetViews>
    <sheetView zoomScaleNormal="100" workbookViewId="0">
      <selection activeCell="G19" sqref="G19"/>
    </sheetView>
  </sheetViews>
  <sheetFormatPr defaultRowHeight="13.2"/>
  <cols>
    <col min="1" max="1" width="4.6640625" customWidth="1"/>
    <col min="2" max="2" width="4.88671875" customWidth="1"/>
    <col min="3" max="4" width="4.6640625" customWidth="1"/>
    <col min="5" max="5" width="33.6640625" customWidth="1"/>
    <col min="6" max="6" width="15.6640625" customWidth="1"/>
    <col min="7" max="8" width="16.6640625" customWidth="1"/>
    <col min="9" max="9" width="12.88671875" bestFit="1" customWidth="1"/>
  </cols>
  <sheetData>
    <row r="5" spans="2:13" ht="22.8">
      <c r="B5" s="1176" t="s">
        <v>251</v>
      </c>
      <c r="C5" s="1176"/>
      <c r="D5" s="1176"/>
      <c r="E5" s="1176"/>
      <c r="F5" s="1176"/>
      <c r="G5" s="1176"/>
      <c r="H5" s="1176"/>
      <c r="I5" s="550"/>
    </row>
    <row r="6" spans="2:13" ht="13.8" thickBot="1"/>
    <row r="7" spans="2:13" ht="36" customHeight="1" thickTop="1" thickBot="1">
      <c r="B7" s="1179"/>
      <c r="C7" s="1179"/>
      <c r="D7" s="1179"/>
      <c r="E7" s="1179"/>
      <c r="F7" s="1180"/>
      <c r="G7" s="4" t="s">
        <v>96</v>
      </c>
      <c r="H7" s="3" t="s">
        <v>97</v>
      </c>
    </row>
    <row r="8" spans="2:13" ht="21" customHeight="1" thickTop="1">
      <c r="B8" t="str">
        <f>IF('KEY INPUTS'!C42 = "State Fiscal Year", 'KEY INPUTS'!F25,'KEY INPUTS'!D25)</f>
        <v>Balance - January 1, 2024</v>
      </c>
      <c r="G8" s="155" t="s">
        <v>301</v>
      </c>
      <c r="H8" s="156" t="s">
        <v>689</v>
      </c>
    </row>
    <row r="9" spans="2:13" ht="21" customHeight="1">
      <c r="B9" s="5"/>
      <c r="C9" s="5" t="s">
        <v>252</v>
      </c>
      <c r="D9" s="5"/>
      <c r="E9" s="5"/>
      <c r="F9" s="46"/>
      <c r="G9" s="138" t="s">
        <v>301</v>
      </c>
      <c r="H9" s="586">
        <v>791239.99</v>
      </c>
      <c r="I9" s="204"/>
    </row>
    <row r="10" spans="2:13">
      <c r="B10" s="7"/>
      <c r="C10" s="7" t="s">
        <v>253</v>
      </c>
      <c r="D10" s="7"/>
      <c r="E10" s="7"/>
      <c r="F10" s="49"/>
      <c r="G10" s="157"/>
      <c r="H10" s="699"/>
    </row>
    <row r="11" spans="2:13">
      <c r="B11" s="30"/>
      <c r="C11" s="30" t="str">
        <f>"(Not in excess of  50% of Levy - "&amp;TEXT('KEY INPUTS'!D35,"0")&amp;" - "&amp;TEXT('KEY INPUTS'!D34,"0")&amp;")"</f>
        <v>(Not in excess of  50% of Levy - 2023 - 2024)</v>
      </c>
      <c r="D11" s="30"/>
      <c r="E11" s="30"/>
      <c r="F11" s="50"/>
      <c r="G11" s="257" t="s">
        <v>301</v>
      </c>
      <c r="H11" s="682">
        <v>691337.75</v>
      </c>
      <c r="I11" s="204"/>
    </row>
    <row r="12" spans="2:13" ht="21" customHeight="1">
      <c r="B12" s="5" t="str">
        <f>"Levy School Year July 1, "&amp;TEXT('KEY INPUTS'!D34,"0")&amp;" - June 30, "&amp;TEXT('KEY INPUTS'!D33,"0")</f>
        <v>Levy School Year July 1, 2024 - June 30, 2025</v>
      </c>
      <c r="C12" s="5"/>
      <c r="D12" s="5"/>
      <c r="E12" s="5"/>
      <c r="F12" s="46"/>
      <c r="G12" s="254" t="s">
        <v>301</v>
      </c>
      <c r="H12" s="429">
        <v>2145580</v>
      </c>
      <c r="I12" s="204"/>
      <c r="L12" s="581" t="s">
        <v>3475</v>
      </c>
    </row>
    <row r="13" spans="2:13" ht="21" customHeight="1">
      <c r="B13" s="5" t="str">
        <f>"Levy Calendar Year "&amp;TEXT('KEY INPUTS'!D34,"0")</f>
        <v>Levy Calendar Year 2024</v>
      </c>
      <c r="C13" s="5"/>
      <c r="D13" s="5"/>
      <c r="E13" s="5"/>
      <c r="F13" s="46"/>
      <c r="G13" s="254" t="s">
        <v>301</v>
      </c>
      <c r="H13" s="429"/>
    </row>
    <row r="14" spans="2:13" ht="21" customHeight="1">
      <c r="B14" s="5" t="s">
        <v>254</v>
      </c>
      <c r="C14" s="5"/>
      <c r="D14" s="5"/>
      <c r="E14" s="5"/>
      <c r="F14" s="46"/>
      <c r="G14" s="291">
        <v>1806162.15</v>
      </c>
      <c r="H14" s="232" t="s">
        <v>689</v>
      </c>
      <c r="M14" s="294"/>
    </row>
    <row r="15" spans="2:13" ht="21" customHeight="1">
      <c r="B15" s="5" t="str">
        <f>IF('KEY INPUTS'!C42 = "State Fiscal Year", 'KEY INPUTS'!F26,'KEY INPUTS'!D26)</f>
        <v>Balance - December 31, 2024</v>
      </c>
      <c r="C15" s="5"/>
      <c r="D15" s="5"/>
      <c r="E15" s="5"/>
      <c r="F15" s="46"/>
      <c r="G15" s="254" t="s">
        <v>301</v>
      </c>
      <c r="H15" s="232" t="s">
        <v>689</v>
      </c>
    </row>
    <row r="16" spans="2:13" ht="21" customHeight="1">
      <c r="B16" s="5"/>
      <c r="C16" s="5" t="s">
        <v>252</v>
      </c>
      <c r="D16" s="5"/>
      <c r="E16" s="5"/>
      <c r="F16" s="46"/>
      <c r="G16" s="222">
        <f>+H9+H11+H12+H13-G14-G18</f>
        <v>749205.59000000032</v>
      </c>
      <c r="H16" s="121" t="s">
        <v>689</v>
      </c>
      <c r="I16" s="576"/>
    </row>
    <row r="17" spans="2:9">
      <c r="B17" s="7"/>
      <c r="C17" s="7" t="s">
        <v>253</v>
      </c>
      <c r="D17" s="7"/>
      <c r="E17" s="7"/>
      <c r="F17" s="49"/>
      <c r="G17" s="683"/>
      <c r="H17" s="69"/>
      <c r="I17" s="204"/>
    </row>
    <row r="18" spans="2:9">
      <c r="B18" s="30"/>
      <c r="C18" s="30" t="str">
        <f>"(Not in excess of 50% of Levy - "&amp;TEXT('KEY INPUTS'!D34,"0")&amp;" - "&amp;TEXT('KEY INPUTS'!D33,"0")&amp;")"</f>
        <v>(Not in excess of 50% of Levy - 2024 - 2025)</v>
      </c>
      <c r="D18" s="30"/>
      <c r="E18" s="30"/>
      <c r="F18" s="700"/>
      <c r="G18" s="705">
        <f>H12/2</f>
        <v>1072790</v>
      </c>
      <c r="H18" s="122" t="s">
        <v>689</v>
      </c>
      <c r="I18" s="204"/>
    </row>
    <row r="19" spans="2:9" ht="21" customHeight="1" thickBot="1">
      <c r="B19" s="42" t="s">
        <v>572</v>
      </c>
      <c r="C19" s="7"/>
      <c r="D19" s="7"/>
      <c r="E19" s="7"/>
      <c r="F19" s="7"/>
      <c r="G19" s="95">
        <f>SUM(G14:G18)</f>
        <v>3628157.74</v>
      </c>
      <c r="H19" s="76">
        <f>SUM(H8:H13)</f>
        <v>3628157.74</v>
      </c>
      <c r="I19" s="238"/>
    </row>
    <row r="20" spans="2:9" ht="12.75" customHeight="1" thickTop="1">
      <c r="C20" s="34" t="s">
        <v>299</v>
      </c>
      <c r="G20" s="11"/>
      <c r="H20" s="11"/>
    </row>
    <row r="21" spans="2:9" ht="12.75" customHeight="1">
      <c r="B21" s="34" t="s">
        <v>300</v>
      </c>
    </row>
    <row r="22" spans="2:9" ht="21" customHeight="1"/>
    <row r="23" spans="2:9" ht="21" customHeight="1"/>
    <row r="24" spans="2:9" ht="21" customHeight="1"/>
    <row r="25" spans="2:9" ht="21" customHeight="1"/>
    <row r="26" spans="2:9" ht="21" customHeight="1">
      <c r="B26" s="1052"/>
      <c r="C26" s="1052"/>
      <c r="D26" s="1052"/>
      <c r="E26" s="1052"/>
      <c r="F26" s="1052"/>
      <c r="G26" s="1052"/>
      <c r="H26" s="1052"/>
    </row>
    <row r="27" spans="2:9" ht="21" customHeight="1"/>
    <row r="28" spans="2:9" ht="30" customHeight="1">
      <c r="B28" s="102"/>
      <c r="C28" s="102"/>
      <c r="D28" s="102"/>
      <c r="E28" s="102"/>
      <c r="F28" s="102"/>
      <c r="G28" s="594"/>
      <c r="H28" s="594"/>
    </row>
    <row r="29" spans="2:9" ht="21" customHeight="1">
      <c r="F29" s="38"/>
      <c r="G29" s="1053"/>
      <c r="H29" s="817"/>
    </row>
    <row r="30" spans="2:9" ht="21" customHeight="1">
      <c r="F30" s="38"/>
      <c r="G30" s="1054"/>
      <c r="H30" s="817"/>
    </row>
    <row r="31" spans="2:9" ht="21" customHeight="1">
      <c r="F31" s="38"/>
      <c r="G31" s="1053"/>
      <c r="H31" s="817"/>
    </row>
    <row r="32" spans="2:9" ht="21" customHeight="1">
      <c r="F32" s="38"/>
      <c r="G32" s="1054"/>
      <c r="H32" s="817"/>
    </row>
    <row r="33" spans="2:8" ht="21" customHeight="1">
      <c r="F33" s="38"/>
      <c r="G33" s="1053"/>
      <c r="H33" s="817"/>
    </row>
    <row r="34" spans="2:8" ht="21" customHeight="1">
      <c r="F34" s="38"/>
      <c r="G34" s="1055"/>
      <c r="H34" s="1053"/>
    </row>
    <row r="35" spans="2:8" ht="21" customHeight="1">
      <c r="F35" s="38"/>
      <c r="G35" s="1055"/>
      <c r="H35" s="1053"/>
    </row>
    <row r="36" spans="2:8" ht="21" customHeight="1">
      <c r="F36" s="38"/>
      <c r="G36" s="1055"/>
      <c r="H36" s="1053"/>
    </row>
    <row r="37" spans="2:8" ht="21" customHeight="1">
      <c r="B37" s="34"/>
      <c r="G37" s="817"/>
      <c r="H37" s="817"/>
    </row>
    <row r="38" spans="2:8" ht="21" customHeight="1"/>
    <row r="40" spans="2:8">
      <c r="B40" s="1"/>
      <c r="C40" s="1"/>
      <c r="D40" s="1"/>
      <c r="E40" s="1"/>
      <c r="F40" s="1"/>
      <c r="G40" s="1"/>
      <c r="H40" s="1"/>
    </row>
    <row r="41" spans="2:8">
      <c r="B41" s="1"/>
      <c r="C41" s="1"/>
      <c r="D41" s="1"/>
      <c r="E41" s="1"/>
      <c r="F41" s="1"/>
      <c r="G41" s="1"/>
      <c r="H41" s="1"/>
    </row>
    <row r="42" spans="2:8">
      <c r="B42" s="1"/>
      <c r="C42" s="1"/>
      <c r="D42" s="1"/>
      <c r="E42" s="1"/>
      <c r="F42" s="1"/>
      <c r="G42" s="1"/>
      <c r="H42" s="1"/>
    </row>
    <row r="43" spans="2:8">
      <c r="B43" s="1"/>
      <c r="C43" s="1"/>
      <c r="D43" s="1"/>
      <c r="E43" s="1"/>
      <c r="F43" s="1"/>
      <c r="G43" s="1"/>
      <c r="H43" s="1"/>
    </row>
    <row r="44" spans="2:8">
      <c r="B44" s="1"/>
      <c r="C44" s="1"/>
      <c r="D44" s="1"/>
      <c r="E44" s="1"/>
      <c r="F44" s="1"/>
      <c r="G44" s="1"/>
      <c r="H44" s="1"/>
    </row>
    <row r="45" spans="2:8">
      <c r="B45" s="1"/>
      <c r="C45" s="1"/>
      <c r="D45" s="1"/>
      <c r="E45" s="1"/>
      <c r="F45" s="1"/>
      <c r="G45" s="1"/>
      <c r="H45" s="1"/>
    </row>
    <row r="46" spans="2:8">
      <c r="B46" s="1"/>
      <c r="C46" s="1"/>
      <c r="D46" s="1"/>
      <c r="E46" s="1"/>
      <c r="F46" s="1"/>
      <c r="G46" s="1"/>
      <c r="H46" s="1"/>
    </row>
    <row r="47" spans="2:8">
      <c r="B47" s="1"/>
      <c r="C47" s="1"/>
      <c r="D47" s="1"/>
      <c r="E47" s="1"/>
      <c r="F47" s="1"/>
      <c r="G47" s="1"/>
      <c r="H47" s="1"/>
    </row>
    <row r="48" spans="2:8">
      <c r="B48" s="1"/>
      <c r="C48" s="1"/>
      <c r="D48" s="1"/>
      <c r="E48" s="1"/>
      <c r="F48" s="1"/>
      <c r="G48" s="1"/>
      <c r="H48" s="1"/>
    </row>
    <row r="50" spans="2:8" ht="13.8">
      <c r="B50" s="1130" t="s">
        <v>255</v>
      </c>
      <c r="C50" s="1130"/>
      <c r="D50" s="1130"/>
      <c r="E50" s="1130"/>
      <c r="F50" s="1130"/>
      <c r="G50" s="1130"/>
      <c r="H50" s="1130"/>
    </row>
  </sheetData>
  <sheetProtection algorithmName="SHA-512" hashValue="qFY5ilAoPXcNBtNq9B1FHT9E34UUSxYpevrc7p/a1SuCG/wfsfYJTUpapD6wTg1Ndb4DO1CflqSMW32MeNaBqg==" saltValue="i2U7sL9NB8UAmAQPfglQhg==" spinCount="100000" sheet="1" objects="1" scenarios="1"/>
  <mergeCells count="3">
    <mergeCell ref="B7:F7"/>
    <mergeCell ref="B50:H50"/>
    <mergeCell ref="B5:H5"/>
  </mergeCells>
  <phoneticPr fontId="0" type="noConversion"/>
  <pageMargins left="0.25" right="0.25" top="0.5" bottom="0.5" header="0.25" footer="0.25"/>
  <pageSetup paperSize="5"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7"/>
  <dimension ref="B5:L52"/>
  <sheetViews>
    <sheetView zoomScaleNormal="100" workbookViewId="0">
      <selection activeCell="G20" sqref="G20"/>
    </sheetView>
  </sheetViews>
  <sheetFormatPr defaultRowHeight="13.2"/>
  <cols>
    <col min="1" max="1" width="4.6640625" customWidth="1"/>
    <col min="2" max="2" width="4.88671875" customWidth="1"/>
    <col min="3" max="4" width="4.6640625" customWidth="1"/>
    <col min="5" max="5" width="33.6640625" customWidth="1"/>
    <col min="6" max="6" width="15.6640625" customWidth="1"/>
    <col min="7" max="8" width="16.6640625" customWidth="1"/>
    <col min="9" max="9" width="13.88671875" bestFit="1" customWidth="1"/>
    <col min="10" max="10" width="12.88671875" bestFit="1" customWidth="1"/>
    <col min="11" max="11" width="10.33203125" bestFit="1" customWidth="1"/>
  </cols>
  <sheetData>
    <row r="5" spans="2:12" ht="22.8">
      <c r="B5" s="1176" t="s">
        <v>690</v>
      </c>
      <c r="C5" s="1176"/>
      <c r="D5" s="1176"/>
      <c r="E5" s="1176"/>
      <c r="F5" s="1176"/>
      <c r="G5" s="1176"/>
      <c r="H5" s="1176"/>
      <c r="I5" s="550"/>
    </row>
    <row r="6" spans="2:12" ht="13.5" customHeight="1">
      <c r="B6" s="1221" t="s">
        <v>691</v>
      </c>
      <c r="C6" s="1221"/>
      <c r="D6" s="1221"/>
      <c r="E6" s="1221"/>
      <c r="F6" s="1221"/>
      <c r="G6" s="1221"/>
      <c r="H6" s="1221"/>
    </row>
    <row r="7" spans="2:12" ht="13.8" thickBot="1"/>
    <row r="8" spans="2:12" ht="36" customHeight="1" thickTop="1" thickBot="1">
      <c r="B8" s="1179"/>
      <c r="C8" s="1179"/>
      <c r="D8" s="1179"/>
      <c r="E8" s="1179"/>
      <c r="F8" s="1180"/>
      <c r="G8" s="4" t="s">
        <v>96</v>
      </c>
      <c r="H8" s="3" t="s">
        <v>97</v>
      </c>
    </row>
    <row r="9" spans="2:12" ht="21" customHeight="1" thickTop="1">
      <c r="B9" t="str">
        <f>'13-Other Taxes'!B8</f>
        <v>Balance - January 1, 2024</v>
      </c>
      <c r="G9" s="155" t="s">
        <v>301</v>
      </c>
      <c r="H9" s="156" t="s">
        <v>689</v>
      </c>
    </row>
    <row r="10" spans="2:12" ht="21" customHeight="1">
      <c r="B10" s="5"/>
      <c r="C10" s="5" t="s">
        <v>252</v>
      </c>
      <c r="D10" s="5"/>
      <c r="E10" s="5"/>
      <c r="F10" s="46"/>
      <c r="G10" s="138" t="s">
        <v>301</v>
      </c>
      <c r="H10" s="429">
        <v>261023.7</v>
      </c>
    </row>
    <row r="11" spans="2:12">
      <c r="B11" s="7"/>
      <c r="C11" s="7" t="s">
        <v>253</v>
      </c>
      <c r="D11" s="7"/>
      <c r="E11" s="7"/>
      <c r="F11" s="49"/>
      <c r="G11" s="157"/>
      <c r="H11" s="699"/>
    </row>
    <row r="12" spans="2:12">
      <c r="B12" s="30"/>
      <c r="C12" s="30" t="str">
        <f>'13-Other Taxes'!C11</f>
        <v>(Not in excess of  50% of Levy - 2023 - 2024)</v>
      </c>
      <c r="D12" s="30"/>
      <c r="E12" s="30"/>
      <c r="F12" s="50"/>
      <c r="G12" s="147" t="s">
        <v>301</v>
      </c>
      <c r="H12" s="682">
        <v>355110</v>
      </c>
      <c r="K12" s="294"/>
    </row>
    <row r="13" spans="2:12" ht="21" customHeight="1">
      <c r="B13" s="5" t="str">
        <f>'13-Other Taxes'!B12</f>
        <v>Levy School Year July 1, 2024 - June 30, 2025</v>
      </c>
      <c r="C13" s="5"/>
      <c r="D13" s="5"/>
      <c r="E13" s="5"/>
      <c r="F13" s="46"/>
      <c r="G13" s="138" t="s">
        <v>301</v>
      </c>
      <c r="H13" s="429">
        <v>846387</v>
      </c>
    </row>
    <row r="14" spans="2:12" ht="21" customHeight="1">
      <c r="B14" s="5" t="str">
        <f>'13-Other Taxes'!B13</f>
        <v>Levy Calendar Year 2024</v>
      </c>
      <c r="C14" s="5"/>
      <c r="D14" s="5"/>
      <c r="E14" s="5"/>
      <c r="F14" s="46"/>
      <c r="G14" s="138" t="s">
        <v>301</v>
      </c>
      <c r="H14" s="429"/>
      <c r="L14" s="581" t="s">
        <v>3475</v>
      </c>
    </row>
    <row r="15" spans="2:12" ht="21" customHeight="1">
      <c r="B15" s="5" t="s">
        <v>254</v>
      </c>
      <c r="C15" s="5"/>
      <c r="D15" s="5"/>
      <c r="E15" s="5"/>
      <c r="F15" s="46"/>
      <c r="G15" s="291">
        <v>769043</v>
      </c>
      <c r="H15" s="121" t="s">
        <v>689</v>
      </c>
    </row>
    <row r="16" spans="2:12" ht="21" customHeight="1">
      <c r="B16" s="5" t="str">
        <f>'13-Other Taxes'!B15</f>
        <v>Balance - December 31, 2024</v>
      </c>
      <c r="C16" s="5"/>
      <c r="D16" s="5"/>
      <c r="E16" s="5"/>
      <c r="F16" s="46"/>
      <c r="G16" s="702" t="s">
        <v>301</v>
      </c>
      <c r="H16" s="121" t="s">
        <v>689</v>
      </c>
    </row>
    <row r="17" spans="2:8" ht="21" customHeight="1">
      <c r="B17" s="5"/>
      <c r="C17" s="5" t="s">
        <v>252</v>
      </c>
      <c r="D17" s="5"/>
      <c r="E17" s="5"/>
      <c r="F17" s="46"/>
      <c r="G17" s="629">
        <f>+H10+H12+H13+H14-G15-G19</f>
        <v>270284.19999999995</v>
      </c>
      <c r="H17" s="121" t="s">
        <v>689</v>
      </c>
    </row>
    <row r="18" spans="2:8">
      <c r="B18" s="7"/>
      <c r="C18" s="7" t="s">
        <v>253</v>
      </c>
      <c r="D18" s="7"/>
      <c r="E18" s="7"/>
      <c r="F18" s="49"/>
      <c r="G18" s="703"/>
      <c r="H18" s="69"/>
    </row>
    <row r="19" spans="2:8" ht="12.75" customHeight="1">
      <c r="B19" s="30"/>
      <c r="C19" s="30" t="str">
        <f>'13-Other Taxes'!C18</f>
        <v>(Not in excess of 50% of Levy - 2024 - 2025)</v>
      </c>
      <c r="D19" s="30"/>
      <c r="E19" s="30"/>
      <c r="F19" s="50"/>
      <c r="G19" s="705">
        <f>H13/2</f>
        <v>423193.5</v>
      </c>
      <c r="H19" s="122" t="s">
        <v>689</v>
      </c>
    </row>
    <row r="20" spans="2:8" ht="21" customHeight="1" thickBot="1">
      <c r="B20" s="34" t="s">
        <v>300</v>
      </c>
      <c r="C20" s="7"/>
      <c r="D20" s="7"/>
      <c r="E20" s="7"/>
      <c r="F20" s="7"/>
      <c r="G20" s="95">
        <f>SUM(G15:G19)</f>
        <v>1462520.7</v>
      </c>
      <c r="H20" s="76">
        <f>SUM(H9:H19)</f>
        <v>1462520.7</v>
      </c>
    </row>
    <row r="21" spans="2:8" ht="12.75" customHeight="1" thickTop="1">
      <c r="C21" s="34"/>
      <c r="G21" s="11"/>
      <c r="H21" s="11"/>
    </row>
    <row r="22" spans="2:8" ht="12.75" customHeight="1">
      <c r="B22" s="34"/>
    </row>
    <row r="23" spans="2:8" ht="21" customHeight="1"/>
    <row r="24" spans="2:8" ht="21" customHeight="1"/>
    <row r="25" spans="2:8" ht="21" customHeight="1"/>
    <row r="26" spans="2:8" ht="21" customHeight="1"/>
    <row r="27" spans="2:8" ht="21" customHeight="1">
      <c r="B27" s="1176" t="s">
        <v>692</v>
      </c>
      <c r="C27" s="1176"/>
      <c r="D27" s="1176"/>
      <c r="E27" s="1176"/>
      <c r="F27" s="1176"/>
      <c r="G27" s="1176"/>
      <c r="H27" s="1176"/>
    </row>
    <row r="28" spans="2:8" ht="21" customHeight="1" thickBot="1"/>
    <row r="29" spans="2:8" ht="30" customHeight="1" thickTop="1" thickBot="1">
      <c r="B29" s="1179"/>
      <c r="C29" s="1179"/>
      <c r="D29" s="1179"/>
      <c r="E29" s="1179"/>
      <c r="F29" s="1180"/>
      <c r="G29" s="4" t="s">
        <v>96</v>
      </c>
      <c r="H29" s="3" t="s">
        <v>97</v>
      </c>
    </row>
    <row r="30" spans="2:8" ht="21" customHeight="1" thickTop="1">
      <c r="B30" t="str">
        <f>'13-Other Taxes'!B8</f>
        <v>Balance - January 1, 2024</v>
      </c>
      <c r="G30" s="155" t="s">
        <v>301</v>
      </c>
      <c r="H30" s="156" t="s">
        <v>689</v>
      </c>
    </row>
    <row r="31" spans="2:8" ht="21" customHeight="1">
      <c r="B31" s="5"/>
      <c r="C31" s="5" t="s">
        <v>252</v>
      </c>
      <c r="D31" s="5"/>
      <c r="E31" s="5"/>
      <c r="F31" s="46"/>
      <c r="G31" s="138" t="s">
        <v>301</v>
      </c>
      <c r="H31" s="429"/>
    </row>
    <row r="32" spans="2:8">
      <c r="B32" s="7"/>
      <c r="C32" s="7" t="s">
        <v>253</v>
      </c>
      <c r="D32" s="7"/>
      <c r="E32" s="7"/>
      <c r="F32" s="49"/>
      <c r="G32" s="258"/>
      <c r="H32" s="699"/>
    </row>
    <row r="33" spans="2:12" ht="12.75" customHeight="1">
      <c r="B33" s="30"/>
      <c r="C33" s="30" t="str">
        <f>C12</f>
        <v>(Not in excess of  50% of Levy - 2023 - 2024)</v>
      </c>
      <c r="D33" s="30"/>
      <c r="E33" s="30"/>
      <c r="F33" s="50"/>
      <c r="G33" s="257" t="s">
        <v>301</v>
      </c>
      <c r="H33" s="682"/>
    </row>
    <row r="34" spans="2:12" ht="21" customHeight="1">
      <c r="B34" s="5" t="str">
        <f>B13</f>
        <v>Levy School Year July 1, 2024 - June 30, 2025</v>
      </c>
      <c r="C34" s="5"/>
      <c r="D34" s="5"/>
      <c r="E34" s="5"/>
      <c r="F34" s="46"/>
      <c r="G34" s="254" t="s">
        <v>301</v>
      </c>
      <c r="H34" s="429"/>
      <c r="K34" s="204"/>
    </row>
    <row r="35" spans="2:12" ht="21" customHeight="1">
      <c r="B35" s="5" t="str">
        <f>B14</f>
        <v>Levy Calendar Year 2024</v>
      </c>
      <c r="C35" s="5"/>
      <c r="D35" s="5"/>
      <c r="E35" s="5"/>
      <c r="F35" s="46"/>
      <c r="G35" s="254" t="s">
        <v>301</v>
      </c>
      <c r="H35" s="429"/>
      <c r="L35" s="581" t="s">
        <v>3475</v>
      </c>
    </row>
    <row r="36" spans="2:12" ht="21" customHeight="1">
      <c r="B36" s="5" t="s">
        <v>254</v>
      </c>
      <c r="C36" s="5"/>
      <c r="D36" s="5"/>
      <c r="E36" s="5"/>
      <c r="F36" s="46"/>
      <c r="G36" s="291"/>
      <c r="H36" s="232" t="s">
        <v>689</v>
      </c>
    </row>
    <row r="37" spans="2:12" ht="21" customHeight="1">
      <c r="B37" s="5" t="str">
        <f>'13-Other Taxes'!B15</f>
        <v>Balance - December 31, 2024</v>
      </c>
      <c r="C37" s="5"/>
      <c r="D37" s="5"/>
      <c r="E37" s="5"/>
      <c r="F37" s="46"/>
      <c r="G37" s="254" t="s">
        <v>301</v>
      </c>
      <c r="H37" s="232" t="s">
        <v>689</v>
      </c>
    </row>
    <row r="38" spans="2:12" ht="21" customHeight="1">
      <c r="B38" s="5"/>
      <c r="C38" s="5" t="s">
        <v>252</v>
      </c>
      <c r="D38" s="5"/>
      <c r="E38" s="5"/>
      <c r="F38" s="46"/>
      <c r="G38" s="704">
        <f>+H31+H33+H34+H35-G36-G40</f>
        <v>0</v>
      </c>
      <c r="H38" s="121" t="s">
        <v>689</v>
      </c>
    </row>
    <row r="39" spans="2:12">
      <c r="B39" s="7"/>
      <c r="C39" s="7" t="s">
        <v>253</v>
      </c>
      <c r="D39" s="7"/>
      <c r="E39" s="7"/>
      <c r="F39" s="49"/>
      <c r="G39" s="703"/>
      <c r="H39" s="158"/>
    </row>
    <row r="40" spans="2:12" ht="12.75" customHeight="1">
      <c r="B40" s="30"/>
      <c r="C40" s="30" t="str">
        <f>C19</f>
        <v>(Not in excess of 50% of Levy - 2024 - 2025)</v>
      </c>
      <c r="D40" s="30"/>
      <c r="E40" s="30"/>
      <c r="F40" s="50"/>
      <c r="G40" s="705"/>
      <c r="H40" s="122" t="s">
        <v>689</v>
      </c>
    </row>
    <row r="41" spans="2:12" ht="21" customHeight="1" thickBot="1">
      <c r="B41" s="42" t="s">
        <v>300</v>
      </c>
      <c r="C41" s="7"/>
      <c r="D41" s="7"/>
      <c r="E41" s="7"/>
      <c r="F41" s="7"/>
      <c r="G41" s="95">
        <f>SUM(G34:G40)</f>
        <v>0</v>
      </c>
      <c r="H41" s="76">
        <f>SUM(H30:H40)</f>
        <v>0</v>
      </c>
    </row>
    <row r="42" spans="2:12" ht="21" customHeight="1" thickTop="1">
      <c r="G42" s="11"/>
      <c r="H42" s="11"/>
    </row>
    <row r="44" spans="2:12">
      <c r="B44" s="1"/>
      <c r="C44" s="1"/>
      <c r="D44" s="1"/>
      <c r="E44" s="1"/>
      <c r="F44" s="1"/>
      <c r="G44" s="1"/>
      <c r="H44" s="1"/>
    </row>
    <row r="45" spans="2:12">
      <c r="B45" s="1"/>
      <c r="C45" s="1"/>
      <c r="D45" s="1"/>
      <c r="E45" s="1"/>
      <c r="F45" s="1"/>
      <c r="G45" s="1"/>
      <c r="H45" s="1"/>
    </row>
    <row r="46" spans="2:12">
      <c r="B46" s="1"/>
      <c r="C46" s="1"/>
      <c r="D46" s="1"/>
      <c r="E46" s="1"/>
      <c r="F46" s="1"/>
      <c r="G46" s="1"/>
      <c r="H46" s="1"/>
    </row>
    <row r="47" spans="2:12">
      <c r="B47" s="1"/>
      <c r="C47" s="1"/>
      <c r="D47" s="1"/>
      <c r="E47" s="1"/>
      <c r="F47" s="1"/>
      <c r="G47" s="1"/>
      <c r="H47" s="1"/>
    </row>
    <row r="48" spans="2:12">
      <c r="B48" s="1"/>
      <c r="C48" s="1"/>
      <c r="D48" s="1"/>
      <c r="E48" s="1"/>
      <c r="F48" s="1"/>
      <c r="G48" s="1"/>
      <c r="H48" s="1"/>
    </row>
    <row r="49" spans="2:8">
      <c r="B49" s="1"/>
      <c r="C49" s="1"/>
      <c r="D49" s="1"/>
      <c r="E49" s="1"/>
      <c r="F49" s="1"/>
      <c r="G49" s="1"/>
      <c r="H49" s="1"/>
    </row>
    <row r="50" spans="2:8">
      <c r="B50" s="1"/>
      <c r="C50" s="1"/>
      <c r="D50" s="1"/>
      <c r="E50" s="1"/>
      <c r="F50" s="1"/>
      <c r="G50" s="1"/>
      <c r="H50" s="1"/>
    </row>
    <row r="52" spans="2:8" ht="13.8">
      <c r="B52" s="1130" t="s">
        <v>693</v>
      </c>
      <c r="C52" s="1130"/>
      <c r="D52" s="1130"/>
      <c r="E52" s="1130"/>
      <c r="F52" s="1130"/>
      <c r="G52" s="1130"/>
      <c r="H52" s="1130"/>
    </row>
  </sheetData>
  <sheetProtection algorithmName="SHA-512" hashValue="CeN0iyl+GW1mAulyohtHZd3Tv+QBAJZ/jVRZIAmObhwAGOzdjpGNNVXyQ9pbo9p04T//pi0QuJiL3AQ2ssRK5w==" saltValue="OtAWn/1djsxa5SsfJFrWhQ==" spinCount="100000" sheet="1" objects="1" scenarios="1"/>
  <mergeCells count="6">
    <mergeCell ref="B8:F8"/>
    <mergeCell ref="B52:H52"/>
    <mergeCell ref="B5:H5"/>
    <mergeCell ref="B27:H27"/>
    <mergeCell ref="B29:F29"/>
    <mergeCell ref="B6:H6"/>
  </mergeCells>
  <phoneticPr fontId="0" type="noConversion"/>
  <pageMargins left="0.25" right="0.25" top="0.5" bottom="0.5" header="0.25" footer="0.25"/>
  <pageSetup paperSize="5"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8"/>
  <dimension ref="B3:N47"/>
  <sheetViews>
    <sheetView topLeftCell="A20" zoomScaleNormal="100" workbookViewId="0">
      <selection activeCell="J16" sqref="J16"/>
    </sheetView>
  </sheetViews>
  <sheetFormatPr defaultRowHeight="13.2"/>
  <cols>
    <col min="1" max="1" width="4.6640625" customWidth="1"/>
    <col min="2" max="2" width="4.88671875" customWidth="1"/>
    <col min="3" max="6" width="4.6640625" customWidth="1"/>
    <col min="7" max="7" width="23.6640625" customWidth="1"/>
    <col min="8" max="8" width="15.6640625" customWidth="1"/>
    <col min="9" max="10" width="16.6640625" customWidth="1"/>
    <col min="11" max="11" width="10.109375" bestFit="1" customWidth="1"/>
  </cols>
  <sheetData>
    <row r="3" spans="2:14" ht="22.8">
      <c r="B3" s="1176" t="s">
        <v>160</v>
      </c>
      <c r="C3" s="1176"/>
      <c r="D3" s="1176"/>
      <c r="E3" s="1176"/>
      <c r="F3" s="1176"/>
      <c r="G3" s="1176"/>
      <c r="H3" s="1176"/>
      <c r="I3" s="1176"/>
      <c r="J3" s="1176"/>
      <c r="K3" s="550"/>
    </row>
    <row r="4" spans="2:14" ht="13.8" thickBot="1"/>
    <row r="5" spans="2:14" ht="36" customHeight="1" thickTop="1" thickBot="1">
      <c r="B5" s="1179"/>
      <c r="C5" s="1179"/>
      <c r="D5" s="1179"/>
      <c r="E5" s="1179"/>
      <c r="F5" s="1179"/>
      <c r="G5" s="1179"/>
      <c r="H5" s="1180"/>
      <c r="I5" s="4" t="s">
        <v>96</v>
      </c>
      <c r="J5" s="3" t="s">
        <v>97</v>
      </c>
    </row>
    <row r="6" spans="2:14" ht="21" customHeight="1" thickTop="1">
      <c r="B6" t="str">
        <f>'13-Other Taxes'!B8</f>
        <v>Balance - January 1, 2024</v>
      </c>
      <c r="I6" s="155" t="s">
        <v>301</v>
      </c>
      <c r="J6" s="156" t="s">
        <v>689</v>
      </c>
    </row>
    <row r="7" spans="2:14" ht="21" customHeight="1">
      <c r="B7" s="5"/>
      <c r="C7" s="5" t="s">
        <v>695</v>
      </c>
      <c r="D7" s="5"/>
      <c r="E7" s="5"/>
      <c r="F7" s="5"/>
      <c r="G7" s="5"/>
      <c r="H7" s="46"/>
      <c r="I7" s="138" t="s">
        <v>301</v>
      </c>
      <c r="J7" s="429"/>
    </row>
    <row r="8" spans="2:14" ht="21" customHeight="1">
      <c r="B8" s="5"/>
      <c r="C8" s="5" t="s">
        <v>696</v>
      </c>
      <c r="D8" s="5"/>
      <c r="E8" s="5"/>
      <c r="F8" s="5"/>
      <c r="G8" s="5"/>
      <c r="H8" s="46"/>
      <c r="I8" s="138" t="s">
        <v>301</v>
      </c>
      <c r="J8" s="429">
        <v>6320.84</v>
      </c>
      <c r="L8" s="204"/>
    </row>
    <row r="9" spans="2:14" ht="21" customHeight="1">
      <c r="B9" s="5"/>
      <c r="C9" s="5"/>
      <c r="D9" s="5"/>
      <c r="E9" s="5"/>
      <c r="F9" s="5"/>
      <c r="G9" s="5"/>
      <c r="H9" s="46"/>
      <c r="I9" s="254"/>
      <c r="J9" s="236"/>
    </row>
    <row r="10" spans="2:14" ht="21" customHeight="1">
      <c r="B10" s="5" t="str">
        <f>IF('KEY INPUTS'!C42 = "State Fiscal Year", "FY "&amp;'KEY INPUTS'!D33&amp;"", 'KEY INPUTS'!D34)&amp;" Levy:"</f>
        <v>2024 Levy:</v>
      </c>
      <c r="C10" s="5"/>
      <c r="D10" s="246"/>
      <c r="E10" s="5"/>
      <c r="F10" s="5"/>
      <c r="G10" s="5"/>
      <c r="H10" s="46"/>
      <c r="I10" s="254" t="s">
        <v>301</v>
      </c>
      <c r="J10" s="232" t="s">
        <v>689</v>
      </c>
    </row>
    <row r="11" spans="2:14" ht="21" customHeight="1">
      <c r="B11" s="5"/>
      <c r="C11" s="5" t="s">
        <v>697</v>
      </c>
      <c r="D11" s="5"/>
      <c r="E11" s="5"/>
      <c r="F11" s="5"/>
      <c r="G11" s="5"/>
      <c r="H11" s="46"/>
      <c r="I11" s="254" t="s">
        <v>301</v>
      </c>
      <c r="J11" s="429">
        <v>443450.1</v>
      </c>
      <c r="N11" s="294"/>
    </row>
    <row r="12" spans="2:14" ht="21" customHeight="1">
      <c r="B12" s="5"/>
      <c r="C12" s="5" t="s">
        <v>698</v>
      </c>
      <c r="D12" s="5"/>
      <c r="E12" s="5"/>
      <c r="F12" s="5"/>
      <c r="G12" s="5"/>
      <c r="H12" s="46"/>
      <c r="I12" s="254" t="s">
        <v>301</v>
      </c>
      <c r="J12" s="429"/>
    </row>
    <row r="13" spans="2:14" ht="21" customHeight="1">
      <c r="B13" s="5"/>
      <c r="C13" s="5" t="s">
        <v>699</v>
      </c>
      <c r="D13" s="5"/>
      <c r="E13" s="5"/>
      <c r="F13" s="5"/>
      <c r="G13" s="5"/>
      <c r="H13" s="46"/>
      <c r="I13" s="254" t="s">
        <v>301</v>
      </c>
      <c r="J13" s="429"/>
    </row>
    <row r="14" spans="2:14" ht="21" customHeight="1">
      <c r="B14" s="5"/>
      <c r="C14" s="5" t="s">
        <v>700</v>
      </c>
      <c r="D14" s="5"/>
      <c r="E14" s="5"/>
      <c r="F14" s="5"/>
      <c r="G14" s="5"/>
      <c r="H14" s="46"/>
      <c r="I14" s="254" t="s">
        <v>301</v>
      </c>
      <c r="J14" s="429">
        <v>43178.34</v>
      </c>
    </row>
    <row r="15" spans="2:14" ht="21" customHeight="1">
      <c r="B15" s="5"/>
      <c r="C15" s="5" t="s">
        <v>696</v>
      </c>
      <c r="D15" s="5"/>
      <c r="E15" s="5"/>
      <c r="F15" s="5"/>
      <c r="G15" s="5"/>
      <c r="H15" s="46"/>
      <c r="I15" s="254" t="s">
        <v>301</v>
      </c>
      <c r="J15" s="429">
        <v>210.52</v>
      </c>
    </row>
    <row r="16" spans="2:14" ht="21" customHeight="1">
      <c r="B16" s="5" t="s">
        <v>254</v>
      </c>
      <c r="C16" s="5"/>
      <c r="D16" s="5"/>
      <c r="E16" s="5"/>
      <c r="F16" s="5"/>
      <c r="G16" s="5"/>
      <c r="H16" s="5"/>
      <c r="I16" s="291">
        <v>492949.28</v>
      </c>
      <c r="J16" s="232" t="s">
        <v>689</v>
      </c>
      <c r="K16" s="204"/>
    </row>
    <row r="17" spans="2:11" ht="21" customHeight="1">
      <c r="B17" s="5" t="str">
        <f>'13-Other Taxes'!B15</f>
        <v>Balance - December 31, 2024</v>
      </c>
      <c r="C17" s="5"/>
      <c r="D17" s="5"/>
      <c r="E17" s="5"/>
      <c r="F17" s="5"/>
      <c r="G17" s="5"/>
      <c r="H17" s="5"/>
      <c r="I17" s="254" t="s">
        <v>301</v>
      </c>
      <c r="J17" s="232" t="s">
        <v>689</v>
      </c>
    </row>
    <row r="18" spans="2:11" ht="21" customHeight="1">
      <c r="B18" s="5"/>
      <c r="C18" s="5" t="s">
        <v>695</v>
      </c>
      <c r="D18" s="5"/>
      <c r="E18" s="5"/>
      <c r="F18" s="5"/>
      <c r="G18" s="5"/>
      <c r="H18" s="5"/>
      <c r="I18" s="291"/>
      <c r="J18" s="121" t="s">
        <v>689</v>
      </c>
    </row>
    <row r="19" spans="2:11" ht="21" customHeight="1" thickBot="1">
      <c r="B19" s="5"/>
      <c r="C19" s="5" t="s">
        <v>696</v>
      </c>
      <c r="D19" s="5"/>
      <c r="E19" s="5"/>
      <c r="F19" s="5"/>
      <c r="G19" s="5"/>
      <c r="H19" s="5"/>
      <c r="I19" s="72">
        <f>+J7+J8+J11+J12+J13+J14+J15-I16-I18</f>
        <v>210.52000000001863</v>
      </c>
      <c r="J19" s="159" t="s">
        <v>689</v>
      </c>
      <c r="K19" s="204"/>
    </row>
    <row r="20" spans="2:11" ht="21" customHeight="1" thickBot="1">
      <c r="B20" s="34"/>
      <c r="C20" s="7"/>
      <c r="D20" s="7"/>
      <c r="E20" s="7"/>
      <c r="F20" s="7"/>
      <c r="G20" s="7"/>
      <c r="H20" s="7"/>
      <c r="I20" s="75">
        <f>SUM(I6:I19)</f>
        <v>493159.80000000005</v>
      </c>
      <c r="J20" s="74">
        <f>SUM(J6:J19)</f>
        <v>493159.80000000005</v>
      </c>
      <c r="K20" s="204"/>
    </row>
    <row r="21" spans="2:11" ht="12.75" customHeight="1" thickTop="1">
      <c r="C21" s="34"/>
      <c r="D21" s="34"/>
      <c r="E21" s="34"/>
      <c r="I21" s="11"/>
      <c r="J21" s="11"/>
    </row>
    <row r="22" spans="2:11" ht="12.75" customHeight="1">
      <c r="B22" s="34"/>
    </row>
    <row r="23" spans="2:11" ht="21" customHeight="1"/>
    <row r="24" spans="2:11" ht="21" customHeight="1">
      <c r="B24" s="1176" t="s">
        <v>694</v>
      </c>
      <c r="C24" s="1176"/>
      <c r="D24" s="1176"/>
      <c r="E24" s="1176"/>
      <c r="F24" s="1176"/>
      <c r="G24" s="1176"/>
      <c r="H24" s="1176"/>
      <c r="I24" s="1176"/>
      <c r="J24" s="1176"/>
    </row>
    <row r="25" spans="2:11" ht="12.75" customHeight="1" thickBot="1"/>
    <row r="26" spans="2:11" ht="33" customHeight="1" thickTop="1" thickBot="1">
      <c r="B26" s="1179"/>
      <c r="C26" s="1179"/>
      <c r="D26" s="1179"/>
      <c r="E26" s="1179"/>
      <c r="F26" s="1179"/>
      <c r="G26" s="1179"/>
      <c r="H26" s="1180"/>
      <c r="I26" s="4" t="s">
        <v>96</v>
      </c>
      <c r="J26" s="3" t="s">
        <v>97</v>
      </c>
    </row>
    <row r="27" spans="2:11" ht="21" customHeight="1" thickTop="1">
      <c r="B27" t="str">
        <f>B6</f>
        <v>Balance - January 1, 2024</v>
      </c>
      <c r="H27" s="38"/>
      <c r="I27" s="155" t="s">
        <v>301</v>
      </c>
      <c r="J27" s="429"/>
    </row>
    <row r="28" spans="2:11" ht="21" customHeight="1">
      <c r="B28" s="5" t="str">
        <f>TEXT('KEY INPUTS'!D34,"0")&amp;" Levy: (List Each Type of District Tax Separately - See Footnote)"</f>
        <v>2024 Levy: (List Each Type of District Tax Separately - See Footnote)</v>
      </c>
      <c r="C28" s="5"/>
      <c r="D28" s="5"/>
      <c r="E28" s="5"/>
      <c r="F28" s="5"/>
      <c r="G28" s="5"/>
      <c r="H28" s="5"/>
      <c r="I28" s="138" t="s">
        <v>301</v>
      </c>
      <c r="J28" s="706" t="s">
        <v>689</v>
      </c>
    </row>
    <row r="29" spans="2:11" ht="21" customHeight="1">
      <c r="B29" s="5"/>
      <c r="C29" s="417" t="s">
        <v>701</v>
      </c>
      <c r="D29" s="417"/>
      <c r="E29" s="417"/>
      <c r="F29" s="417"/>
      <c r="G29" s="617"/>
      <c r="H29" s="291"/>
      <c r="I29" s="138" t="s">
        <v>301</v>
      </c>
      <c r="J29" s="706" t="s">
        <v>689</v>
      </c>
    </row>
    <row r="30" spans="2:11" ht="21" customHeight="1">
      <c r="B30" s="5"/>
      <c r="C30" s="417" t="s">
        <v>702</v>
      </c>
      <c r="D30" s="417"/>
      <c r="E30" s="417"/>
      <c r="F30" s="417"/>
      <c r="G30" s="617"/>
      <c r="H30" s="291"/>
      <c r="I30" s="138" t="s">
        <v>301</v>
      </c>
      <c r="J30" s="706" t="s">
        <v>689</v>
      </c>
    </row>
    <row r="31" spans="2:11" ht="21" customHeight="1">
      <c r="B31" s="5"/>
      <c r="C31" s="417" t="s">
        <v>703</v>
      </c>
      <c r="D31" s="417"/>
      <c r="E31" s="417"/>
      <c r="F31" s="417"/>
      <c r="G31" s="617"/>
      <c r="H31" s="291"/>
      <c r="I31" s="138" t="s">
        <v>301</v>
      </c>
      <c r="J31" s="706" t="s">
        <v>689</v>
      </c>
    </row>
    <row r="32" spans="2:11" ht="21" customHeight="1">
      <c r="B32" s="30"/>
      <c r="C32" s="292" t="s">
        <v>704</v>
      </c>
      <c r="D32" s="292"/>
      <c r="E32" s="292"/>
      <c r="F32" s="292"/>
      <c r="G32" s="617"/>
      <c r="H32" s="510"/>
      <c r="I32" s="138" t="s">
        <v>301</v>
      </c>
      <c r="J32" s="706" t="s">
        <v>689</v>
      </c>
    </row>
    <row r="33" spans="2:10" ht="21" customHeight="1">
      <c r="B33" s="5"/>
      <c r="C33" s="417"/>
      <c r="D33" s="417"/>
      <c r="E33" s="417"/>
      <c r="F33" s="417"/>
      <c r="G33" s="617"/>
      <c r="H33" s="291"/>
      <c r="I33" s="138" t="s">
        <v>301</v>
      </c>
      <c r="J33" s="706" t="s">
        <v>689</v>
      </c>
    </row>
    <row r="34" spans="2:10" ht="21" customHeight="1">
      <c r="B34" s="5"/>
      <c r="C34" s="417"/>
      <c r="D34" s="417"/>
      <c r="E34" s="417"/>
      <c r="F34" s="417"/>
      <c r="G34" s="417"/>
      <c r="H34" s="291"/>
      <c r="I34" s="138" t="s">
        <v>301</v>
      </c>
      <c r="J34" s="706" t="s">
        <v>689</v>
      </c>
    </row>
    <row r="35" spans="2:10" ht="21" customHeight="1">
      <c r="B35" s="5"/>
      <c r="C35" s="417"/>
      <c r="D35" s="417"/>
      <c r="E35" s="417"/>
      <c r="F35" s="417"/>
      <c r="G35" s="417"/>
      <c r="H35" s="291"/>
      <c r="I35" s="138" t="s">
        <v>301</v>
      </c>
      <c r="J35" s="706" t="s">
        <v>689</v>
      </c>
    </row>
    <row r="36" spans="2:10" ht="21" customHeight="1">
      <c r="B36" s="5" t="str">
        <f>"Total "&amp;TEXT('KEY INPUTS'!D34,"0")&amp;" Levy"</f>
        <v>Total 2024 Levy</v>
      </c>
      <c r="C36" s="5"/>
      <c r="D36" s="5"/>
      <c r="E36" s="5"/>
      <c r="F36" s="5"/>
      <c r="G36" s="5"/>
      <c r="H36" s="46"/>
      <c r="I36" s="138" t="s">
        <v>301</v>
      </c>
      <c r="J36" s="509">
        <f>SUM(H29:H35)</f>
        <v>0</v>
      </c>
    </row>
    <row r="37" spans="2:10" ht="21" customHeight="1">
      <c r="B37" s="5" t="s">
        <v>254</v>
      </c>
      <c r="C37" s="5"/>
      <c r="D37" s="5"/>
      <c r="E37" s="5"/>
      <c r="F37" s="5"/>
      <c r="G37" s="5"/>
      <c r="H37" s="46"/>
      <c r="I37" s="291"/>
      <c r="J37" s="706" t="s">
        <v>689</v>
      </c>
    </row>
    <row r="38" spans="2:10" ht="21" customHeight="1" thickBot="1">
      <c r="B38" s="5" t="str">
        <f>B17</f>
        <v>Balance - December 31, 2024</v>
      </c>
      <c r="C38" s="5"/>
      <c r="D38" s="5"/>
      <c r="E38" s="5"/>
      <c r="F38" s="5"/>
      <c r="G38" s="5"/>
      <c r="H38" s="46"/>
      <c r="I38" s="184">
        <f>+J27+J36-I37</f>
        <v>0</v>
      </c>
      <c r="J38" s="707" t="s">
        <v>689</v>
      </c>
    </row>
    <row r="39" spans="2:10" ht="21" customHeight="1" thickBot="1">
      <c r="B39" s="42"/>
      <c r="C39" s="7"/>
      <c r="D39" s="7"/>
      <c r="E39" s="7"/>
      <c r="F39" s="7"/>
      <c r="G39" s="7"/>
      <c r="H39" s="7"/>
      <c r="I39" s="75">
        <f>SUM(I36:I38)</f>
        <v>0</v>
      </c>
      <c r="J39" s="708">
        <f>SUM(J27:J38)</f>
        <v>0</v>
      </c>
    </row>
    <row r="40" spans="2:10" ht="21" customHeight="1" thickTop="1">
      <c r="I40" s="11"/>
      <c r="J40" s="11"/>
    </row>
    <row r="41" spans="2:10">
      <c r="B41" t="s">
        <v>706</v>
      </c>
    </row>
    <row r="42" spans="2:10">
      <c r="B42" s="1"/>
      <c r="C42" s="1"/>
      <c r="D42" s="1"/>
      <c r="E42" s="1"/>
      <c r="F42" s="1"/>
      <c r="G42" s="1"/>
      <c r="H42" s="1"/>
      <c r="I42" s="1"/>
      <c r="J42" s="1"/>
    </row>
    <row r="43" spans="2:10">
      <c r="B43" s="1"/>
      <c r="C43" s="1"/>
      <c r="D43" s="1"/>
      <c r="E43" s="1"/>
      <c r="F43" s="1"/>
      <c r="G43" s="1"/>
      <c r="H43" s="1"/>
      <c r="I43" s="1"/>
      <c r="J43" s="1"/>
    </row>
    <row r="44" spans="2:10">
      <c r="B44" s="1"/>
      <c r="C44" s="1"/>
      <c r="D44" s="1"/>
      <c r="E44" s="1"/>
      <c r="F44" s="1"/>
      <c r="G44" s="1"/>
      <c r="H44" s="1"/>
      <c r="I44" s="1"/>
      <c r="J44" s="1"/>
    </row>
    <row r="45" spans="2:10">
      <c r="B45" s="1"/>
      <c r="C45" s="1"/>
      <c r="D45" s="1"/>
      <c r="E45" s="1"/>
      <c r="F45" s="1"/>
      <c r="G45" s="1"/>
      <c r="H45" s="1"/>
      <c r="I45" s="1"/>
      <c r="J45" s="1"/>
    </row>
    <row r="47" spans="2:10" ht="13.8">
      <c r="B47" s="1130" t="s">
        <v>705</v>
      </c>
      <c r="C47" s="1130"/>
      <c r="D47" s="1130"/>
      <c r="E47" s="1130"/>
      <c r="F47" s="1130"/>
      <c r="G47" s="1130"/>
      <c r="H47" s="1130"/>
      <c r="I47" s="1130"/>
      <c r="J47" s="1130"/>
    </row>
  </sheetData>
  <sheetProtection algorithmName="SHA-512" hashValue="3tZF3MD48/LYoL+bYltWkssCJwvrpGNZ889J2mzEZ8tF3TYJRfjUXjYgM2n+zxNQwzwsp/OYoCf94M9S6BHi5w==" saltValue="iRJFb889J8fgWqpAAigocQ==" spinCount="100000" sheet="1" objects="1" scenarios="1"/>
  <mergeCells count="5">
    <mergeCell ref="B5:H5"/>
    <mergeCell ref="B47:J47"/>
    <mergeCell ref="B3:J3"/>
    <mergeCell ref="B24:J24"/>
    <mergeCell ref="B26:H26"/>
  </mergeCells>
  <phoneticPr fontId="0" type="noConversion"/>
  <pageMargins left="0.25" right="0.25" top="0.5" bottom="0.5" header="0.25" footer="0.25"/>
  <pageSetup paperSize="5"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9"/>
  <dimension ref="B2:V53"/>
  <sheetViews>
    <sheetView topLeftCell="A25" zoomScaleNormal="100" workbookViewId="0">
      <selection activeCell="I11" sqref="I11"/>
    </sheetView>
  </sheetViews>
  <sheetFormatPr defaultRowHeight="13.2"/>
  <cols>
    <col min="1" max="1" width="4.6640625" customWidth="1"/>
    <col min="2" max="3" width="3.6640625" customWidth="1"/>
    <col min="4" max="4" width="4.6640625" customWidth="1"/>
    <col min="6" max="6" width="16.6640625" customWidth="1"/>
    <col min="7" max="7" width="8.6640625" customWidth="1"/>
    <col min="8" max="10" width="16.6640625" customWidth="1"/>
    <col min="11" max="11" width="13.5546875" bestFit="1" customWidth="1"/>
  </cols>
  <sheetData>
    <row r="2" spans="2:22" ht="22.8">
      <c r="B2" s="1176" t="str">
        <f>"STATEMENT OF GENERAL BUDGET REVENUES "&amp;IF('KEY INPUTS'!C42 = "State Fiscal Year", "FY "&amp;'KEY INPUTS'!D33&amp;"", 'KEY INPUTS'!D34)&amp;""</f>
        <v>STATEMENT OF GENERAL BUDGET REVENUES 2024</v>
      </c>
      <c r="C2" s="1176"/>
      <c r="D2" s="1176"/>
      <c r="E2" s="1176"/>
      <c r="F2" s="1176"/>
      <c r="G2" s="1176"/>
      <c r="H2" s="1176"/>
      <c r="I2" s="1176"/>
      <c r="J2" s="1176"/>
      <c r="V2" s="957" t="str">
        <f>'KEY INPUTS'!F7</f>
        <v>Municipality</v>
      </c>
    </row>
    <row r="3" spans="2:22" ht="13.8" thickBot="1"/>
    <row r="4" spans="2:22" ht="13.8" thickTop="1">
      <c r="B4" s="1226" t="s">
        <v>165</v>
      </c>
      <c r="C4" s="1226"/>
      <c r="D4" s="1226"/>
      <c r="E4" s="1226"/>
      <c r="F4" s="1226"/>
      <c r="G4" s="1227"/>
      <c r="H4" s="12" t="s">
        <v>534</v>
      </c>
      <c r="I4" s="12" t="s">
        <v>636</v>
      </c>
      <c r="J4" s="51" t="s">
        <v>172</v>
      </c>
    </row>
    <row r="5" spans="2:22" ht="14.4" thickBot="1">
      <c r="B5" s="1228"/>
      <c r="C5" s="1228"/>
      <c r="D5" s="1228"/>
      <c r="E5" s="1228"/>
      <c r="F5" s="1228"/>
      <c r="G5" s="1229"/>
      <c r="H5" s="53" t="s">
        <v>169</v>
      </c>
      <c r="I5" s="53" t="s">
        <v>170</v>
      </c>
      <c r="J5" s="52" t="s">
        <v>171</v>
      </c>
      <c r="L5" s="1092" t="s">
        <v>3619</v>
      </c>
    </row>
    <row r="6" spans="2:22" ht="21" customHeight="1" thickTop="1" thickBot="1">
      <c r="B6" s="22" t="s">
        <v>166</v>
      </c>
      <c r="C6" s="22"/>
      <c r="D6" s="22"/>
      <c r="E6" s="22"/>
      <c r="F6" s="22"/>
      <c r="G6" s="55"/>
      <c r="H6" s="731">
        <v>191000</v>
      </c>
      <c r="I6" s="197">
        <f>+H6</f>
        <v>191000</v>
      </c>
      <c r="J6" s="198">
        <f>+I6-H6</f>
        <v>0</v>
      </c>
      <c r="K6" s="204"/>
      <c r="L6" s="1091" t="s">
        <v>3620</v>
      </c>
      <c r="O6" s="1093"/>
      <c r="P6" s="1094"/>
    </row>
    <row r="7" spans="2:22" ht="10.5" customHeight="1">
      <c r="B7" s="34" t="s">
        <v>167</v>
      </c>
      <c r="G7" s="54"/>
      <c r="H7" s="100"/>
      <c r="I7" s="100"/>
      <c r="J7" s="206"/>
    </row>
    <row r="8" spans="2:22" ht="13.8">
      <c r="B8" s="590" t="s">
        <v>3615</v>
      </c>
      <c r="C8" s="30"/>
      <c r="D8" s="30"/>
      <c r="E8" s="30"/>
      <c r="F8" s="30"/>
      <c r="G8" s="56"/>
      <c r="H8" s="440"/>
      <c r="I8" s="440"/>
      <c r="J8" s="207">
        <f>+I8-H8</f>
        <v>0</v>
      </c>
    </row>
    <row r="9" spans="2:22" ht="21" customHeight="1">
      <c r="B9" s="5" t="s">
        <v>173</v>
      </c>
      <c r="C9" s="5"/>
      <c r="D9" s="5"/>
      <c r="E9" s="5"/>
      <c r="F9" s="5"/>
      <c r="G9" s="5"/>
      <c r="H9" s="138" t="s">
        <v>627</v>
      </c>
      <c r="I9" s="138" t="s">
        <v>627</v>
      </c>
      <c r="J9" s="121" t="s">
        <v>627</v>
      </c>
    </row>
    <row r="10" spans="2:22" ht="21" customHeight="1">
      <c r="B10" s="5"/>
      <c r="C10" s="5"/>
      <c r="D10" s="5" t="s">
        <v>174</v>
      </c>
      <c r="E10" s="5"/>
      <c r="F10" s="5"/>
      <c r="G10" s="5"/>
      <c r="H10" s="289">
        <v>479734.93</v>
      </c>
      <c r="I10" s="289">
        <v>481047.16</v>
      </c>
      <c r="J10" s="195">
        <f>+I10-H10</f>
        <v>1312.2299999999814</v>
      </c>
      <c r="K10" s="204"/>
    </row>
    <row r="11" spans="2:22" ht="21" customHeight="1">
      <c r="B11" s="5"/>
      <c r="C11" s="5"/>
      <c r="D11" s="5" t="s">
        <v>3556</v>
      </c>
      <c r="E11" s="5"/>
      <c r="F11" s="5"/>
      <c r="G11" s="5"/>
      <c r="H11" s="272">
        <f>+'17a Totals-Budget Revenues'!H43</f>
        <v>0</v>
      </c>
      <c r="I11" s="272">
        <f>+H11</f>
        <v>0</v>
      </c>
      <c r="J11" s="195">
        <f>+I11-H11</f>
        <v>0</v>
      </c>
    </row>
    <row r="12" spans="2:22" ht="21" customHeight="1">
      <c r="B12" s="5"/>
      <c r="C12" s="5"/>
      <c r="D12" s="417"/>
      <c r="E12" s="417"/>
      <c r="F12" s="417"/>
      <c r="G12" s="417"/>
      <c r="H12" s="289"/>
      <c r="I12" s="289"/>
      <c r="J12" s="195">
        <f t="shared" ref="J12:J13" si="0">+I12-H12</f>
        <v>0</v>
      </c>
    </row>
    <row r="13" spans="2:22" ht="21" customHeight="1" thickBot="1">
      <c r="B13" s="5"/>
      <c r="C13" s="5"/>
      <c r="D13" s="417"/>
      <c r="E13" s="417"/>
      <c r="F13" s="417"/>
      <c r="G13" s="417"/>
      <c r="H13" s="484"/>
      <c r="I13" s="484"/>
      <c r="J13" s="687">
        <f t="shared" si="0"/>
        <v>0</v>
      </c>
    </row>
    <row r="14" spans="2:22" ht="21" customHeight="1" thickTop="1">
      <c r="B14" s="5" t="s">
        <v>804</v>
      </c>
      <c r="C14" s="5"/>
      <c r="D14" s="5"/>
      <c r="E14" s="5"/>
      <c r="F14" s="5"/>
      <c r="G14" s="57"/>
      <c r="H14" s="253">
        <f>SUM(H10:H13)</f>
        <v>479734.93</v>
      </c>
      <c r="I14" s="253">
        <f>SUM(I10:I13)</f>
        <v>481047.16</v>
      </c>
      <c r="J14" s="207">
        <f>SUM(J10:J13)</f>
        <v>1312.2299999999814</v>
      </c>
      <c r="K14" s="204"/>
    </row>
    <row r="15" spans="2:22" ht="21" customHeight="1">
      <c r="B15" s="5" t="s">
        <v>805</v>
      </c>
      <c r="C15" s="5"/>
      <c r="D15" s="5"/>
      <c r="E15" s="5"/>
      <c r="F15" s="5"/>
      <c r="G15" s="57"/>
      <c r="H15" s="289">
        <v>150000</v>
      </c>
      <c r="I15" s="272">
        <f>+'26-Delinquent Taxes and Liens'!M22</f>
        <v>187312.41</v>
      </c>
      <c r="J15" s="195">
        <f>+I15-H15</f>
        <v>37312.410000000003</v>
      </c>
      <c r="K15" s="204"/>
    </row>
    <row r="16" spans="2:22" ht="21" customHeight="1">
      <c r="B16" s="5"/>
      <c r="C16" s="5"/>
      <c r="D16" s="5"/>
      <c r="E16" s="5"/>
      <c r="F16" s="5"/>
      <c r="G16" s="5"/>
      <c r="H16" s="272"/>
      <c r="I16" s="272"/>
      <c r="J16" s="195"/>
    </row>
    <row r="17" spans="2:12" ht="21" customHeight="1">
      <c r="B17" s="5" t="s">
        <v>806</v>
      </c>
      <c r="C17" s="5"/>
      <c r="D17" s="5"/>
      <c r="E17" s="5"/>
      <c r="F17" s="5"/>
      <c r="G17" s="5"/>
      <c r="H17" s="254" t="s">
        <v>627</v>
      </c>
      <c r="I17" s="254" t="s">
        <v>627</v>
      </c>
      <c r="J17" s="121" t="s">
        <v>627</v>
      </c>
    </row>
    <row r="18" spans="2:12" ht="21" customHeight="1">
      <c r="B18" s="5"/>
      <c r="C18" s="31" t="s">
        <v>807</v>
      </c>
      <c r="D18" s="31"/>
      <c r="E18" s="5"/>
      <c r="F18" s="5"/>
      <c r="G18" s="57"/>
      <c r="H18" s="289">
        <v>995708.75</v>
      </c>
      <c r="I18" s="254" t="s">
        <v>627</v>
      </c>
      <c r="J18" s="121" t="s">
        <v>627</v>
      </c>
    </row>
    <row r="19" spans="2:12" ht="21" customHeight="1">
      <c r="B19" s="5"/>
      <c r="C19" s="31" t="s">
        <v>808</v>
      </c>
      <c r="D19" s="31"/>
      <c r="E19" s="5"/>
      <c r="F19" s="5"/>
      <c r="G19" s="57"/>
      <c r="H19" s="289"/>
      <c r="I19" s="138" t="s">
        <v>627</v>
      </c>
      <c r="J19" s="121" t="s">
        <v>627</v>
      </c>
    </row>
    <row r="20" spans="2:12" ht="21" customHeight="1">
      <c r="B20" s="5"/>
      <c r="C20" s="31" t="s">
        <v>3351</v>
      </c>
      <c r="D20" s="31"/>
      <c r="E20" s="5"/>
      <c r="F20" s="5"/>
      <c r="G20" s="56"/>
      <c r="H20" s="289"/>
      <c r="I20" s="138" t="s">
        <v>627</v>
      </c>
      <c r="J20" s="716" t="s">
        <v>627</v>
      </c>
    </row>
    <row r="21" spans="2:12" ht="21" customHeight="1" thickBot="1">
      <c r="B21" s="5"/>
      <c r="C21" s="31"/>
      <c r="D21" s="31" t="s">
        <v>261</v>
      </c>
      <c r="E21" s="5"/>
      <c r="F21" s="5"/>
      <c r="G21" s="56"/>
      <c r="H21" s="208">
        <f>+H19+H18+H20</f>
        <v>995708.75</v>
      </c>
      <c r="I21" s="1090">
        <f>+I41</f>
        <v>1128828.3600000003</v>
      </c>
      <c r="J21" s="206">
        <f>+I21-H21</f>
        <v>133119.61000000034</v>
      </c>
      <c r="K21" s="204"/>
      <c r="L21" s="96"/>
    </row>
    <row r="22" spans="2:12" ht="21" customHeight="1" thickTop="1" thickBot="1">
      <c r="H22" s="196">
        <f>+H21+H15+H14+H8+H6</f>
        <v>1816443.68</v>
      </c>
      <c r="I22" s="196">
        <f>+I21+I15+I14+I8+I6</f>
        <v>1988187.9300000002</v>
      </c>
      <c r="J22" s="209">
        <f>+J21+J15+J14+J8+J6</f>
        <v>171744.25000000032</v>
      </c>
      <c r="K22" s="204"/>
    </row>
    <row r="23" spans="2:12" ht="13.8" thickTop="1"/>
    <row r="24" spans="2:12">
      <c r="H24" s="204"/>
      <c r="J24" s="204"/>
    </row>
    <row r="25" spans="2:12">
      <c r="I25" s="204"/>
    </row>
    <row r="26" spans="2:12" ht="22.8">
      <c r="B26" s="1176" t="s">
        <v>809</v>
      </c>
      <c r="C26" s="1176"/>
      <c r="D26" s="1176"/>
      <c r="E26" s="1176"/>
      <c r="F26" s="1176"/>
      <c r="G26" s="1176"/>
      <c r="H26" s="1176"/>
      <c r="I26" s="1176"/>
      <c r="J26" s="1176"/>
    </row>
    <row r="27" spans="2:12" ht="12.75" customHeight="1" thickBot="1">
      <c r="B27" s="26"/>
      <c r="C27" s="26"/>
      <c r="D27" s="26"/>
      <c r="E27" s="26"/>
      <c r="F27" s="26"/>
      <c r="G27" s="26"/>
      <c r="H27" s="26"/>
      <c r="I27" s="26"/>
      <c r="J27" s="26"/>
    </row>
    <row r="28" spans="2:12" ht="26.1" customHeight="1" thickTop="1" thickBot="1">
      <c r="B28" s="58"/>
      <c r="C28" s="58"/>
      <c r="D28" s="58"/>
      <c r="E28" s="58"/>
      <c r="F28" s="58"/>
      <c r="G28" s="58"/>
      <c r="H28" s="58"/>
      <c r="I28" s="4" t="s">
        <v>96</v>
      </c>
      <c r="J28" s="3" t="s">
        <v>97</v>
      </c>
    </row>
    <row r="29" spans="2:12" ht="21" customHeight="1" thickTop="1">
      <c r="B29" s="603" t="s">
        <v>811</v>
      </c>
      <c r="C29" s="22"/>
      <c r="D29" s="22"/>
      <c r="E29" s="22"/>
      <c r="F29" s="22"/>
      <c r="G29" s="22"/>
      <c r="H29" s="47"/>
      <c r="I29" s="137" t="s">
        <v>627</v>
      </c>
      <c r="J29" s="198">
        <f>+'22-CY Levy'!L48</f>
        <v>4371059.32</v>
      </c>
    </row>
    <row r="30" spans="2:12" ht="21" customHeight="1">
      <c r="B30" s="5" t="s">
        <v>812</v>
      </c>
      <c r="C30" s="5"/>
      <c r="D30" s="5"/>
      <c r="E30" s="5"/>
      <c r="F30" s="5"/>
      <c r="G30" s="5"/>
      <c r="H30" s="46"/>
      <c r="I30" s="138" t="s">
        <v>627</v>
      </c>
      <c r="J30" s="121" t="s">
        <v>627</v>
      </c>
    </row>
    <row r="31" spans="2:12" ht="21" customHeight="1">
      <c r="B31" s="5"/>
      <c r="C31" s="5"/>
      <c r="D31" s="5" t="s">
        <v>813</v>
      </c>
      <c r="E31" s="5"/>
      <c r="F31" s="5"/>
      <c r="G31" s="5"/>
      <c r="H31" s="46"/>
      <c r="I31" s="272">
        <f>+'13-Other Taxes'!H12+'13-Other Taxes'!H13</f>
        <v>2145580</v>
      </c>
      <c r="J31" s="232" t="s">
        <v>627</v>
      </c>
    </row>
    <row r="32" spans="2:12" ht="21" customHeight="1">
      <c r="B32" s="5"/>
      <c r="C32" s="5"/>
      <c r="D32" s="5" t="s">
        <v>814</v>
      </c>
      <c r="E32" s="5"/>
      <c r="F32" s="5"/>
      <c r="G32" s="5"/>
      <c r="H32" s="46"/>
      <c r="I32" s="272">
        <f>+'14-Other Taxes'!H13+'14-Other Taxes'!H14</f>
        <v>846387</v>
      </c>
      <c r="J32" s="232" t="s">
        <v>627</v>
      </c>
    </row>
    <row r="33" spans="2:11" ht="21" customHeight="1">
      <c r="B33" s="5"/>
      <c r="C33" s="5"/>
      <c r="D33" s="5" t="s">
        <v>815</v>
      </c>
      <c r="E33" s="5"/>
      <c r="F33" s="5"/>
      <c r="G33" s="5"/>
      <c r="H33" s="46"/>
      <c r="I33" s="272">
        <f>+'14-Other Taxes'!H34+'14-Other Taxes'!H35</f>
        <v>0</v>
      </c>
      <c r="J33" s="232" t="s">
        <v>627</v>
      </c>
    </row>
    <row r="34" spans="2:11" ht="21" customHeight="1">
      <c r="B34" s="5"/>
      <c r="C34" s="5"/>
      <c r="D34" s="5" t="s">
        <v>695</v>
      </c>
      <c r="E34" s="5"/>
      <c r="F34" s="5"/>
      <c r="G34" s="5"/>
      <c r="H34" s="46"/>
      <c r="I34" s="272">
        <f>+'15-Other Taxes'!J11+'15-Other Taxes'!J12+'15-Other Taxes'!J13+'15-Other Taxes'!J14</f>
        <v>486628.43999999994</v>
      </c>
      <c r="J34" s="232" t="s">
        <v>627</v>
      </c>
      <c r="K34" s="296"/>
    </row>
    <row r="35" spans="2:11" ht="21" customHeight="1">
      <c r="B35" s="5"/>
      <c r="C35" s="5"/>
      <c r="D35" s="5" t="s">
        <v>696</v>
      </c>
      <c r="E35" s="5"/>
      <c r="F35" s="5"/>
      <c r="G35" s="5"/>
      <c r="H35" s="46"/>
      <c r="I35" s="272">
        <f>+'15-Other Taxes'!J15</f>
        <v>210.52</v>
      </c>
      <c r="J35" s="232" t="s">
        <v>627</v>
      </c>
      <c r="K35" s="296"/>
    </row>
    <row r="36" spans="2:11" ht="21" customHeight="1">
      <c r="B36" s="5"/>
      <c r="C36" s="5"/>
      <c r="D36" s="5" t="s">
        <v>816</v>
      </c>
      <c r="E36" s="5"/>
      <c r="F36" s="5"/>
      <c r="G36" s="5"/>
      <c r="H36" s="46"/>
      <c r="I36" s="272">
        <f>+'15-Other Taxes'!J36</f>
        <v>0</v>
      </c>
      <c r="J36" s="232" t="s">
        <v>627</v>
      </c>
    </row>
    <row r="37" spans="2:11" ht="21" customHeight="1">
      <c r="B37" s="5"/>
      <c r="C37" s="5"/>
      <c r="D37" s="5" t="s">
        <v>775</v>
      </c>
      <c r="E37" s="5"/>
      <c r="F37" s="5"/>
      <c r="G37" s="5"/>
      <c r="H37" s="46"/>
      <c r="I37" s="289"/>
      <c r="J37" s="232" t="s">
        <v>627</v>
      </c>
    </row>
    <row r="38" spans="2:11" ht="21" customHeight="1">
      <c r="B38" s="5"/>
      <c r="C38" s="5"/>
      <c r="D38" s="263" t="s">
        <v>3618</v>
      </c>
      <c r="E38" s="5"/>
      <c r="F38" s="5"/>
      <c r="G38" s="5"/>
      <c r="H38" s="46"/>
      <c r="I38" s="289"/>
      <c r="J38" s="232" t="s">
        <v>627</v>
      </c>
    </row>
    <row r="39" spans="2:11" ht="21" customHeight="1">
      <c r="B39" s="5" t="s">
        <v>817</v>
      </c>
      <c r="C39" s="5"/>
      <c r="D39" s="5"/>
      <c r="E39" s="5"/>
      <c r="F39" s="5"/>
      <c r="G39" s="5"/>
      <c r="H39" s="46"/>
      <c r="I39" s="254" t="s">
        <v>627</v>
      </c>
      <c r="J39" s="255">
        <f>+'18-Budget Appropriations'!I15</f>
        <v>236575</v>
      </c>
      <c r="K39" s="204"/>
    </row>
    <row r="40" spans="2:11" ht="21" customHeight="1">
      <c r="B40" s="5" t="s">
        <v>257</v>
      </c>
      <c r="C40" s="5"/>
      <c r="D40" s="5"/>
      <c r="E40" s="5"/>
      <c r="F40" s="5"/>
      <c r="G40" s="5"/>
      <c r="H40" s="46"/>
      <c r="I40" s="254" t="s">
        <v>627</v>
      </c>
      <c r="J40" s="255">
        <f>IF(I52&lt;0,-I52,0)</f>
        <v>0</v>
      </c>
    </row>
    <row r="41" spans="2:11" ht="21" customHeight="1">
      <c r="B41" s="5" t="s">
        <v>258</v>
      </c>
      <c r="C41" s="5"/>
      <c r="D41" s="5"/>
      <c r="E41" s="5"/>
      <c r="F41" s="5"/>
      <c r="G41" s="5"/>
      <c r="H41" s="46"/>
      <c r="I41" s="272">
        <f>+J29+J39-I31-I32-I33-I34-I35-I36-I37-I38</f>
        <v>1128828.3600000003</v>
      </c>
      <c r="J41" s="121" t="s">
        <v>627</v>
      </c>
      <c r="K41" s="204"/>
    </row>
    <row r="42" spans="2:11" ht="21" customHeight="1">
      <c r="B42" s="5" t="s">
        <v>259</v>
      </c>
      <c r="C42" s="5"/>
      <c r="D42" s="5"/>
      <c r="E42" s="5"/>
      <c r="F42" s="5"/>
      <c r="G42" s="5"/>
      <c r="H42" s="46"/>
      <c r="I42" s="289"/>
      <c r="J42" s="121" t="s">
        <v>627</v>
      </c>
    </row>
    <row r="43" spans="2:11" ht="21" customHeight="1" thickBot="1">
      <c r="B43" s="5" t="s">
        <v>260</v>
      </c>
      <c r="C43" s="5"/>
      <c r="D43" s="5"/>
      <c r="E43" s="5"/>
      <c r="F43" s="5"/>
      <c r="G43" s="5"/>
      <c r="H43" s="46"/>
      <c r="I43" s="157" t="s">
        <v>627</v>
      </c>
      <c r="J43" s="732"/>
    </row>
    <row r="44" spans="2:11" ht="21" customHeight="1" thickTop="1" thickBot="1">
      <c r="B44" s="1230" t="s">
        <v>262</v>
      </c>
      <c r="C44" s="1230"/>
      <c r="D44" s="1230"/>
      <c r="E44" s="1230"/>
      <c r="F44" s="1230"/>
      <c r="G44" s="1230"/>
      <c r="H44" s="1230"/>
      <c r="I44" s="196">
        <f>SUM(I29:I43)</f>
        <v>4607634.32</v>
      </c>
      <c r="J44" s="209">
        <f>SUM(J29:J43)</f>
        <v>4607634.32</v>
      </c>
    </row>
    <row r="45" spans="2:11" ht="13.8" thickTop="1">
      <c r="B45" s="1231"/>
      <c r="C45" s="1231"/>
      <c r="D45" s="1231"/>
      <c r="E45" s="1231"/>
      <c r="F45" s="1231"/>
      <c r="G45" s="1231"/>
      <c r="H45" s="1231"/>
    </row>
    <row r="47" spans="2:11">
      <c r="I47" s="204"/>
    </row>
    <row r="49" spans="2:10" ht="13.8">
      <c r="B49" s="1130" t="s">
        <v>810</v>
      </c>
      <c r="C49" s="1130"/>
      <c r="D49" s="1130"/>
      <c r="E49" s="1130"/>
      <c r="F49" s="1130"/>
      <c r="G49" s="1130"/>
      <c r="H49" s="1130"/>
      <c r="I49" s="1130"/>
      <c r="J49" s="1130"/>
    </row>
    <row r="51" spans="2:10" ht="13.8" thickBot="1"/>
    <row r="52" spans="2:10">
      <c r="G52" s="1222" t="s">
        <v>453</v>
      </c>
      <c r="H52" s="1223"/>
      <c r="I52" s="183">
        <f>+J29-SUM(I31:I37)+J39</f>
        <v>1128828.3600000003</v>
      </c>
    </row>
    <row r="53" spans="2:10" ht="13.8" thickBot="1">
      <c r="G53" s="1224" t="s">
        <v>454</v>
      </c>
      <c r="H53" s="1225"/>
      <c r="I53" s="168"/>
    </row>
  </sheetData>
  <sheetProtection algorithmName="SHA-512" hashValue="VAaYWMlgdxAmAY7EF53ZaeheQ/VUL5RvBZ7ARpTliZPhVEzHI2P3Bc5l14BLyi7ndrVpfC0vuD8RG3a7AFU68g==" saltValue="6t+yn2onaCU5ms4eS8aPQg==" spinCount="100000" sheet="1" objects="1" scenarios="1"/>
  <mergeCells count="7">
    <mergeCell ref="G52:H52"/>
    <mergeCell ref="G53:H53"/>
    <mergeCell ref="B4:G5"/>
    <mergeCell ref="B2:J2"/>
    <mergeCell ref="B26:J26"/>
    <mergeCell ref="B49:J49"/>
    <mergeCell ref="B44:H45"/>
  </mergeCells>
  <phoneticPr fontId="0" type="noConversion"/>
  <pageMargins left="0.25" right="0.25" top="0.5" bottom="0.5" header="0.25" footer="0.25"/>
  <pageSetup paperSize="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pageSetUpPr fitToPage="1"/>
  </sheetPr>
  <dimension ref="B2:K57"/>
  <sheetViews>
    <sheetView topLeftCell="A22" zoomScaleNormal="100" zoomScaleSheetLayoutView="80" workbookViewId="0">
      <selection activeCell="H30" sqref="H30"/>
    </sheetView>
  </sheetViews>
  <sheetFormatPr defaultRowHeight="13.2"/>
  <cols>
    <col min="1" max="1" width="4.6640625" customWidth="1"/>
    <col min="2" max="2" width="4.88671875" customWidth="1"/>
    <col min="3" max="4" width="4.6640625" customWidth="1"/>
    <col min="5" max="5" width="30.6640625" customWidth="1"/>
    <col min="6" max="6" width="15.6640625" customWidth="1"/>
    <col min="7" max="8" width="21" bestFit="1" customWidth="1"/>
    <col min="9" max="9" width="2.88671875" customWidth="1"/>
    <col min="10" max="10" width="13.5546875" bestFit="1" customWidth="1"/>
    <col min="11" max="11" width="11.109375" bestFit="1" customWidth="1"/>
  </cols>
  <sheetData>
    <row r="2" spans="2:11">
      <c r="B2" s="1181" t="s">
        <v>100</v>
      </c>
      <c r="C2" s="1181"/>
      <c r="D2" s="1181"/>
      <c r="E2" s="1181"/>
      <c r="F2" s="1181"/>
      <c r="G2" s="1181"/>
      <c r="H2" s="1181"/>
    </row>
    <row r="4" spans="2:11" ht="22.8">
      <c r="B4" s="1176" t="s">
        <v>424</v>
      </c>
      <c r="C4" s="1176"/>
      <c r="D4" s="1176"/>
      <c r="E4" s="1176"/>
      <c r="F4" s="1176"/>
      <c r="G4" s="1176"/>
      <c r="H4" s="1176"/>
    </row>
    <row r="5" spans="2:11" ht="22.8">
      <c r="B5" s="1176" t="s">
        <v>448</v>
      </c>
      <c r="C5" s="1176"/>
      <c r="D5" s="1176"/>
      <c r="E5" s="1176"/>
      <c r="F5" s="1176"/>
      <c r="G5" s="1176"/>
      <c r="H5" s="1176"/>
    </row>
    <row r="6" spans="2:11" ht="15.6">
      <c r="B6" s="1182" t="str">
        <f>IF('KEY INPUTS'!C42 = "State Fiscal Year", 'KEY INPUTS'!F45,'KEY INPUTS'!D45)</f>
        <v>AS  AT  DECEMBER  31, 2024</v>
      </c>
      <c r="C6" s="1132"/>
      <c r="D6" s="1132"/>
      <c r="E6" s="1132"/>
      <c r="F6" s="1132"/>
      <c r="G6" s="1132"/>
      <c r="H6" s="1132"/>
    </row>
    <row r="8" spans="2:11" ht="15" customHeight="1" thickBot="1">
      <c r="B8" s="1183" t="s">
        <v>94</v>
      </c>
      <c r="C8" s="1183"/>
      <c r="D8" s="1183"/>
      <c r="E8" s="1183"/>
      <c r="F8" s="1183"/>
      <c r="G8" s="1183"/>
      <c r="H8" s="1183"/>
    </row>
    <row r="9" spans="2:11" ht="36" customHeight="1" thickTop="1" thickBot="1">
      <c r="B9" s="1179" t="s">
        <v>95</v>
      </c>
      <c r="C9" s="1179"/>
      <c r="D9" s="1179"/>
      <c r="E9" s="1179"/>
      <c r="F9" s="1180"/>
      <c r="G9" s="4" t="s">
        <v>96</v>
      </c>
      <c r="H9" s="3" t="s">
        <v>97</v>
      </c>
    </row>
    <row r="10" spans="2:11" ht="21" customHeight="1" thickTop="1">
      <c r="B10" s="603" t="s">
        <v>3487</v>
      </c>
      <c r="C10" s="594"/>
      <c r="D10" s="594"/>
      <c r="E10" s="594"/>
      <c r="F10" s="25"/>
      <c r="G10" s="595">
        <f>+'3-Trial Bal-Current Fund'!G46</f>
        <v>4302911.5</v>
      </c>
      <c r="H10" s="622">
        <f>+'3-Trial Bal-Current Fund'!H46</f>
        <v>5028.2000000000007</v>
      </c>
    </row>
    <row r="11" spans="2:11" ht="21" customHeight="1">
      <c r="B11" s="651" t="s">
        <v>793</v>
      </c>
      <c r="C11" s="624"/>
      <c r="D11" s="625"/>
      <c r="E11" s="625"/>
      <c r="F11" s="626"/>
      <c r="G11" s="647"/>
      <c r="H11" s="623">
        <f>'18-Budget Appropriations'!I16</f>
        <v>98032.82</v>
      </c>
      <c r="J11" s="296"/>
    </row>
    <row r="12" spans="2:11" ht="21" customHeight="1">
      <c r="B12" s="418" t="s">
        <v>794</v>
      </c>
      <c r="C12" s="555"/>
      <c r="D12" s="613"/>
      <c r="E12" s="613"/>
      <c r="F12" s="616"/>
      <c r="G12" s="289"/>
      <c r="H12" s="438">
        <v>11939.8</v>
      </c>
      <c r="I12" s="112"/>
      <c r="J12" s="204"/>
      <c r="K12" s="204"/>
    </row>
    <row r="13" spans="2:11" ht="21" customHeight="1">
      <c r="B13" s="418" t="s">
        <v>3674</v>
      </c>
      <c r="C13" s="555"/>
      <c r="D13" s="613"/>
      <c r="E13" s="613"/>
      <c r="F13" s="616"/>
      <c r="G13" s="289"/>
      <c r="H13" s="438">
        <v>10208.14</v>
      </c>
      <c r="I13" s="112"/>
      <c r="J13" s="204"/>
      <c r="K13" s="204"/>
    </row>
    <row r="14" spans="2:11" ht="21" customHeight="1">
      <c r="B14" s="418" t="s">
        <v>3192</v>
      </c>
      <c r="C14" s="555"/>
      <c r="D14" s="613"/>
      <c r="E14" s="613"/>
      <c r="F14" s="616"/>
      <c r="G14" s="289"/>
      <c r="H14" s="438">
        <v>11013.95</v>
      </c>
      <c r="I14" s="112"/>
      <c r="J14" s="204"/>
      <c r="K14" s="204"/>
    </row>
    <row r="15" spans="2:11" ht="21" customHeight="1">
      <c r="B15" s="418" t="s">
        <v>3193</v>
      </c>
      <c r="C15" s="555"/>
      <c r="D15" s="613"/>
      <c r="E15" s="613"/>
      <c r="F15" s="616"/>
      <c r="G15" s="289"/>
      <c r="H15" s="438">
        <v>26833.53</v>
      </c>
      <c r="I15" s="112"/>
      <c r="J15" s="204"/>
      <c r="K15" s="204"/>
    </row>
    <row r="16" spans="2:11" ht="21" customHeight="1">
      <c r="B16" s="418"/>
      <c r="C16" s="555"/>
      <c r="D16" s="613"/>
      <c r="E16" s="613"/>
      <c r="F16" s="616"/>
      <c r="G16" s="289"/>
      <c r="H16" s="438"/>
      <c r="I16" s="112"/>
      <c r="J16" s="204"/>
      <c r="K16" s="204"/>
    </row>
    <row r="17" spans="2:11" ht="21" customHeight="1">
      <c r="B17" s="418"/>
      <c r="C17" s="555"/>
      <c r="D17" s="613"/>
      <c r="E17" s="613"/>
      <c r="F17" s="616"/>
      <c r="G17" s="289"/>
      <c r="H17" s="438"/>
      <c r="I17" s="112"/>
      <c r="J17" s="204"/>
      <c r="K17" s="204"/>
    </row>
    <row r="18" spans="2:11" ht="21" customHeight="1">
      <c r="B18" s="418" t="s">
        <v>3194</v>
      </c>
      <c r="C18" s="555"/>
      <c r="D18" s="613"/>
      <c r="E18" s="613"/>
      <c r="F18" s="616"/>
      <c r="G18" s="289"/>
      <c r="H18" s="438"/>
      <c r="I18" s="112"/>
      <c r="J18" s="204"/>
    </row>
    <row r="19" spans="2:11" ht="21" customHeight="1">
      <c r="B19" s="418" t="s">
        <v>3220</v>
      </c>
      <c r="C19" s="555"/>
      <c r="D19" s="613"/>
      <c r="E19" s="613"/>
      <c r="F19" s="616"/>
      <c r="G19" s="289"/>
      <c r="H19" s="438"/>
      <c r="I19" s="112"/>
      <c r="J19" s="204"/>
    </row>
    <row r="20" spans="2:11" ht="21" customHeight="1">
      <c r="B20" s="418" t="s">
        <v>3195</v>
      </c>
      <c r="C20" s="555"/>
      <c r="D20" s="613"/>
      <c r="E20" s="613"/>
      <c r="F20" s="616"/>
      <c r="G20" s="289"/>
      <c r="H20" s="438"/>
      <c r="I20" s="112"/>
      <c r="J20" s="204"/>
      <c r="K20" s="204"/>
    </row>
    <row r="21" spans="2:11" ht="21" customHeight="1">
      <c r="B21" s="418"/>
      <c r="C21" s="555"/>
      <c r="D21" s="613"/>
      <c r="E21" s="613"/>
      <c r="F21" s="616"/>
      <c r="G21" s="289"/>
      <c r="H21" s="438"/>
      <c r="I21" s="112"/>
      <c r="J21" s="204"/>
      <c r="K21" s="204"/>
    </row>
    <row r="22" spans="2:11" ht="21" customHeight="1">
      <c r="B22" s="571" t="s">
        <v>3221</v>
      </c>
      <c r="C22" s="624"/>
      <c r="D22" s="625"/>
      <c r="E22" s="625"/>
      <c r="F22" s="626"/>
      <c r="G22" s="647"/>
      <c r="H22" s="623">
        <f>MAX(0,'13-Other Taxes'!G16)</f>
        <v>749205.59000000032</v>
      </c>
      <c r="I22" s="112"/>
    </row>
    <row r="23" spans="2:11" ht="21" customHeight="1">
      <c r="B23" s="571" t="s">
        <v>3222</v>
      </c>
      <c r="C23" s="624"/>
      <c r="D23" s="625"/>
      <c r="E23" s="625"/>
      <c r="F23" s="626"/>
      <c r="G23" s="647"/>
      <c r="H23" s="623">
        <f>MAX(0,'14-Other Taxes'!G17)</f>
        <v>270284.19999999995</v>
      </c>
      <c r="I23" s="112"/>
      <c r="J23" s="204"/>
    </row>
    <row r="24" spans="2:11" ht="21" customHeight="1">
      <c r="B24" s="571" t="s">
        <v>3223</v>
      </c>
      <c r="C24" s="624"/>
      <c r="D24" s="625"/>
      <c r="E24" s="625"/>
      <c r="F24" s="626"/>
      <c r="G24" s="647"/>
      <c r="H24" s="623">
        <f>MAX(0,'14-Other Taxes'!G38)</f>
        <v>0</v>
      </c>
      <c r="I24" s="112"/>
      <c r="J24" s="204"/>
    </row>
    <row r="25" spans="2:11" ht="21" customHeight="1">
      <c r="B25" s="263" t="s">
        <v>3476</v>
      </c>
      <c r="C25" s="853"/>
      <c r="D25" s="854"/>
      <c r="E25" s="854"/>
      <c r="F25" s="855"/>
      <c r="G25" s="663"/>
      <c r="H25" s="668">
        <f>MAX(0,'15-Other Taxes'!I18)</f>
        <v>0</v>
      </c>
      <c r="I25" s="112"/>
      <c r="J25" s="204"/>
      <c r="K25" s="204"/>
    </row>
    <row r="26" spans="2:11" ht="21" customHeight="1">
      <c r="B26" s="571" t="s">
        <v>3224</v>
      </c>
      <c r="C26" s="624"/>
      <c r="D26" s="625"/>
      <c r="E26" s="625"/>
      <c r="F26" s="626"/>
      <c r="G26" s="647"/>
      <c r="H26" s="623">
        <f>MAX(0,'15-Other Taxes'!I19)</f>
        <v>210.52000000001863</v>
      </c>
      <c r="I26" s="112"/>
      <c r="J26" s="204"/>
    </row>
    <row r="27" spans="2:11" ht="21" customHeight="1">
      <c r="B27" s="571" t="s">
        <v>3225</v>
      </c>
      <c r="C27" s="624"/>
      <c r="D27" s="625"/>
      <c r="E27" s="625"/>
      <c r="F27" s="626"/>
      <c r="G27" s="647"/>
      <c r="H27" s="623">
        <f>MAX(0,'15-Other Taxes'!I38)</f>
        <v>0</v>
      </c>
      <c r="I27" s="112"/>
      <c r="J27" s="204"/>
      <c r="K27" s="204"/>
    </row>
    <row r="28" spans="2:11" ht="21" customHeight="1">
      <c r="B28" s="571" t="s">
        <v>3226</v>
      </c>
      <c r="C28" s="624"/>
      <c r="D28" s="625"/>
      <c r="E28" s="625"/>
      <c r="F28" s="626"/>
      <c r="G28" s="647"/>
      <c r="H28" s="623">
        <f>MAX(0,'24-Reserves for Tax Appeals'!I17)</f>
        <v>150000</v>
      </c>
      <c r="I28" s="112"/>
      <c r="J28" s="204"/>
      <c r="K28" s="204"/>
    </row>
    <row r="29" spans="2:11" ht="21" customHeight="1">
      <c r="B29" s="1184" t="s">
        <v>3742</v>
      </c>
      <c r="C29" s="1184"/>
      <c r="D29" s="1184"/>
      <c r="E29" s="1184"/>
      <c r="F29" s="1185"/>
      <c r="G29" s="289"/>
      <c r="H29" s="438">
        <v>242317.25</v>
      </c>
      <c r="I29" s="112"/>
      <c r="J29" s="204"/>
      <c r="K29" s="204"/>
    </row>
    <row r="30" spans="2:11" ht="21" customHeight="1">
      <c r="B30" s="1184" t="s">
        <v>3743</v>
      </c>
      <c r="C30" s="1184"/>
      <c r="D30" s="1184"/>
      <c r="E30" s="1184"/>
      <c r="F30" s="1185"/>
      <c r="G30" s="289"/>
      <c r="H30" s="438">
        <v>628285.36</v>
      </c>
      <c r="I30" s="112"/>
    </row>
    <row r="31" spans="2:11" ht="21" customHeight="1">
      <c r="B31" s="1184" t="s">
        <v>3744</v>
      </c>
      <c r="C31" s="1184"/>
      <c r="D31" s="1184"/>
      <c r="E31" s="1184"/>
      <c r="F31" s="1185"/>
      <c r="G31" s="289"/>
      <c r="H31" s="438">
        <f>66812.3+20828.15</f>
        <v>87640.450000000012</v>
      </c>
      <c r="I31" s="112"/>
      <c r="J31" s="204"/>
      <c r="K31" s="204"/>
    </row>
    <row r="32" spans="2:11" ht="21" customHeight="1">
      <c r="B32" s="1184"/>
      <c r="C32" s="1184"/>
      <c r="D32" s="1184"/>
      <c r="E32" s="1184"/>
      <c r="F32" s="1185"/>
      <c r="G32" s="289"/>
      <c r="H32" s="438"/>
      <c r="I32" s="112"/>
      <c r="J32" s="204"/>
      <c r="K32" s="204"/>
    </row>
    <row r="33" spans="2:11" ht="21" customHeight="1">
      <c r="B33" s="1184"/>
      <c r="C33" s="1184"/>
      <c r="D33" s="1184"/>
      <c r="E33" s="1184"/>
      <c r="F33" s="1185"/>
      <c r="G33" s="289"/>
      <c r="H33" s="438"/>
      <c r="I33" s="112"/>
      <c r="J33" s="204"/>
      <c r="K33" s="204"/>
    </row>
    <row r="34" spans="2:11" ht="21" customHeight="1">
      <c r="B34" s="1184"/>
      <c r="C34" s="1184"/>
      <c r="D34" s="1184"/>
      <c r="E34" s="1184"/>
      <c r="F34" s="1185"/>
      <c r="G34" s="289"/>
      <c r="H34" s="438"/>
      <c r="I34" s="112"/>
      <c r="J34" s="204"/>
      <c r="K34" s="204"/>
    </row>
    <row r="35" spans="2:11" ht="21" customHeight="1">
      <c r="B35" s="1184"/>
      <c r="C35" s="1184"/>
      <c r="D35" s="1184"/>
      <c r="E35" s="1184"/>
      <c r="F35" s="1185"/>
      <c r="G35" s="289"/>
      <c r="H35" s="507"/>
      <c r="I35" s="112"/>
      <c r="J35" s="204"/>
      <c r="K35" s="204"/>
    </row>
    <row r="36" spans="2:11" ht="21" customHeight="1">
      <c r="B36" s="1184"/>
      <c r="C36" s="1184"/>
      <c r="D36" s="1184"/>
      <c r="E36" s="1184"/>
      <c r="F36" s="1185"/>
      <c r="G36" s="289"/>
      <c r="H36" s="419"/>
      <c r="I36" s="112"/>
    </row>
    <row r="37" spans="2:11" ht="21" customHeight="1">
      <c r="B37" s="417"/>
      <c r="C37" s="417"/>
      <c r="D37" s="417"/>
      <c r="E37" s="417"/>
      <c r="F37" s="417"/>
      <c r="G37" s="289"/>
      <c r="H37" s="959"/>
      <c r="I37" s="112"/>
      <c r="J37" s="550"/>
    </row>
    <row r="38" spans="2:11" ht="21" customHeight="1">
      <c r="B38" s="417"/>
      <c r="C38" s="417"/>
      <c r="D38" s="417"/>
      <c r="E38" s="417"/>
      <c r="F38" s="417"/>
      <c r="G38" s="289"/>
      <c r="H38" s="438"/>
      <c r="I38" s="112"/>
    </row>
    <row r="39" spans="2:11" ht="21" customHeight="1">
      <c r="B39" s="417"/>
      <c r="C39" s="417"/>
      <c r="D39" s="417"/>
      <c r="E39" s="417"/>
      <c r="F39" s="417"/>
      <c r="G39" s="289"/>
      <c r="H39" s="438"/>
      <c r="I39" s="112"/>
      <c r="J39" s="204"/>
      <c r="K39" s="204"/>
    </row>
    <row r="40" spans="2:11" ht="21" customHeight="1">
      <c r="B40" s="417"/>
      <c r="C40" s="417"/>
      <c r="D40" s="417"/>
      <c r="E40" s="417"/>
      <c r="F40" s="417"/>
      <c r="G40" s="289"/>
      <c r="H40" s="438"/>
      <c r="I40" s="112"/>
      <c r="J40" s="204"/>
      <c r="K40" s="204"/>
    </row>
    <row r="41" spans="2:11" ht="21" customHeight="1">
      <c r="B41" s="417"/>
      <c r="C41" s="417"/>
      <c r="D41" s="417"/>
      <c r="E41" s="417"/>
      <c r="F41" s="417"/>
      <c r="G41" s="289"/>
      <c r="H41" s="438"/>
      <c r="I41" s="112"/>
      <c r="J41" s="204"/>
      <c r="K41" s="204"/>
    </row>
    <row r="42" spans="2:11" ht="21" customHeight="1">
      <c r="B42" s="417"/>
      <c r="C42" s="417"/>
      <c r="D42" s="417"/>
      <c r="E42" s="417"/>
      <c r="F42" s="417"/>
      <c r="G42" s="289"/>
      <c r="H42" s="438"/>
      <c r="I42" s="112"/>
      <c r="J42" s="204"/>
      <c r="K42" s="204"/>
    </row>
    <row r="43" spans="2:11" ht="21" customHeight="1" thickBot="1">
      <c r="B43" s="417"/>
      <c r="C43" s="417"/>
      <c r="D43" s="417"/>
      <c r="E43" s="417"/>
      <c r="F43" s="417"/>
      <c r="G43" s="435"/>
      <c r="H43" s="960"/>
      <c r="I43" s="112"/>
    </row>
    <row r="44" spans="2:11" ht="21" customHeight="1" thickBot="1">
      <c r="B44" s="5"/>
      <c r="C44" s="5"/>
      <c r="D44" s="5"/>
      <c r="E44" s="5"/>
      <c r="F44" s="263" t="s">
        <v>3255</v>
      </c>
      <c r="G44" s="288">
        <f>SUM(G10:G43)</f>
        <v>4302911.5</v>
      </c>
      <c r="H44" s="235">
        <f>SUM(H10:H43)</f>
        <v>2290999.8100000005</v>
      </c>
      <c r="I44" s="112"/>
      <c r="J44" s="204"/>
    </row>
    <row r="45" spans="2:11" ht="21" customHeight="1" thickTop="1">
      <c r="B45" s="5"/>
      <c r="C45" s="5"/>
      <c r="D45" s="5"/>
      <c r="E45" s="5"/>
      <c r="F45" s="5"/>
      <c r="G45" s="253"/>
      <c r="H45" s="233"/>
    </row>
    <row r="46" spans="2:11" ht="21" customHeight="1">
      <c r="B46" s="5"/>
      <c r="C46" s="5"/>
      <c r="D46" s="5"/>
      <c r="E46" s="5"/>
      <c r="F46" s="5"/>
      <c r="G46" s="272"/>
      <c r="H46" s="255"/>
    </row>
    <row r="47" spans="2:11">
      <c r="B47" s="1158" t="s">
        <v>98</v>
      </c>
      <c r="C47" s="1158"/>
      <c r="D47" s="1158"/>
      <c r="E47" s="1158"/>
      <c r="F47" s="1158"/>
      <c r="G47" s="1158"/>
      <c r="H47" s="1158"/>
    </row>
    <row r="48" spans="2:11" ht="13.8">
      <c r="B48" s="1130" t="s">
        <v>101</v>
      </c>
      <c r="C48" s="1130"/>
      <c r="D48" s="1130"/>
      <c r="E48" s="1130"/>
      <c r="F48" s="1130"/>
      <c r="G48" s="1130"/>
      <c r="H48" s="1130"/>
    </row>
    <row r="49" spans="7:8">
      <c r="H49" s="204"/>
    </row>
    <row r="50" spans="7:8">
      <c r="G50" s="204"/>
      <c r="H50" s="204"/>
    </row>
    <row r="51" spans="7:8">
      <c r="H51" s="204"/>
    </row>
    <row r="52" spans="7:8">
      <c r="G52" s="204"/>
      <c r="H52" s="204"/>
    </row>
    <row r="53" spans="7:8">
      <c r="G53" s="204"/>
      <c r="H53" s="204"/>
    </row>
    <row r="54" spans="7:8">
      <c r="H54" s="204"/>
    </row>
    <row r="55" spans="7:8">
      <c r="G55" s="204"/>
    </row>
    <row r="57" spans="7:8">
      <c r="H57" s="204"/>
    </row>
  </sheetData>
  <sheetProtection algorithmName="SHA-512" hashValue="bRjvWG0dYNrEgvbIxq24qO5klei6m2pln7bA98LPCCnsSKUbRQ1YR+eZiS6wzs8MB1ZX4dFN0rF4oXz8HnyIIw==" saltValue="D4+pImkws06s4cZClw8geQ==" spinCount="100000" sheet="1" objects="1" scenarios="1"/>
  <mergeCells count="16">
    <mergeCell ref="B47:H47"/>
    <mergeCell ref="B48:H48"/>
    <mergeCell ref="B2:H2"/>
    <mergeCell ref="B4:H4"/>
    <mergeCell ref="B5:H5"/>
    <mergeCell ref="B6:H6"/>
    <mergeCell ref="B8:H8"/>
    <mergeCell ref="B9:F9"/>
    <mergeCell ref="B29:F29"/>
    <mergeCell ref="B30:F30"/>
    <mergeCell ref="B31:F31"/>
    <mergeCell ref="B32:F32"/>
    <mergeCell ref="B33:F33"/>
    <mergeCell ref="B34:F34"/>
    <mergeCell ref="B35:F35"/>
    <mergeCell ref="B36:F36"/>
  </mergeCells>
  <phoneticPr fontId="0" type="noConversion"/>
  <pageMargins left="0.25" right="0.25" top="0.5" bottom="0.5" header="0.25" footer="0.25"/>
  <pageSetup scale="75" orientation="portrait" r:id="rId1"/>
  <headerFooter alignWithMargins="0"/>
  <colBreaks count="1" manualBreakCount="1">
    <brk id="8" max="47" man="1"/>
  </col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0"/>
  <dimension ref="B4:L52"/>
  <sheetViews>
    <sheetView topLeftCell="A30" zoomScaleNormal="100" zoomScaleSheetLayoutView="90" workbookViewId="0">
      <selection activeCell="B49" sqref="B49:J49"/>
    </sheetView>
  </sheetViews>
  <sheetFormatPr defaultRowHeight="13.2"/>
  <cols>
    <col min="1" max="3" width="4.6640625" customWidth="1"/>
    <col min="7" max="7" width="9.109375" customWidth="1"/>
    <col min="8" max="9" width="16.6640625" customWidth="1"/>
    <col min="10" max="10" width="19.5546875" customWidth="1"/>
  </cols>
  <sheetData>
    <row r="4" spans="2:12" ht="22.8">
      <c r="B4" s="1176" t="str">
        <f>'17-Budget Revenues'!B2:J2</f>
        <v>STATEMENT OF GENERAL BUDGET REVENUES 2024</v>
      </c>
      <c r="C4" s="1176"/>
      <c r="D4" s="1176"/>
      <c r="E4" s="1176"/>
      <c r="F4" s="1176"/>
      <c r="G4" s="1176"/>
      <c r="H4" s="1176"/>
      <c r="I4" s="1176"/>
      <c r="J4" s="1176"/>
    </row>
    <row r="5" spans="2:12" ht="13.8">
      <c r="B5" s="1130" t="s">
        <v>263</v>
      </c>
      <c r="C5" s="1130"/>
      <c r="D5" s="1130"/>
      <c r="E5" s="1130"/>
      <c r="F5" s="1130"/>
      <c r="G5" s="1130"/>
      <c r="H5" s="1130"/>
      <c r="I5" s="1130"/>
      <c r="J5" s="1130"/>
    </row>
    <row r="7" spans="2:12" ht="15.6">
      <c r="B7" s="1168" t="s">
        <v>3557</v>
      </c>
      <c r="C7" s="1168"/>
      <c r="D7" s="1168"/>
      <c r="E7" s="1168"/>
      <c r="F7" s="1168"/>
      <c r="G7" s="1168"/>
      <c r="H7" s="1168"/>
      <c r="I7" s="1168"/>
      <c r="J7" s="1168"/>
    </row>
    <row r="8" spans="2:12" ht="8.25" customHeight="1" thickBot="1">
      <c r="B8" s="10"/>
      <c r="C8" s="10"/>
      <c r="D8" s="10"/>
      <c r="E8" s="10"/>
      <c r="F8" s="10"/>
      <c r="G8" s="10"/>
      <c r="H8" s="10"/>
      <c r="I8" s="10"/>
      <c r="J8" s="10"/>
    </row>
    <row r="9" spans="2:12" ht="32.1" customHeight="1" thickTop="1" thickBot="1">
      <c r="B9" s="1179" t="s">
        <v>165</v>
      </c>
      <c r="C9" s="1179"/>
      <c r="D9" s="1179"/>
      <c r="E9" s="1179"/>
      <c r="F9" s="1179"/>
      <c r="G9" s="1179"/>
      <c r="H9" s="4" t="s">
        <v>534</v>
      </c>
      <c r="I9" s="4" t="s">
        <v>636</v>
      </c>
      <c r="J9" s="3" t="s">
        <v>264</v>
      </c>
    </row>
    <row r="10" spans="2:12" ht="21.9" customHeight="1" thickTop="1">
      <c r="B10" s="22"/>
      <c r="C10" s="22"/>
      <c r="D10" s="22"/>
      <c r="E10" s="22"/>
      <c r="F10" s="22"/>
      <c r="G10" s="22"/>
      <c r="H10" s="59"/>
      <c r="I10" s="59"/>
      <c r="J10" s="60"/>
    </row>
    <row r="11" spans="2:12" ht="21.9" customHeight="1">
      <c r="B11" s="418"/>
      <c r="C11" s="417"/>
      <c r="D11" s="417"/>
      <c r="E11" s="417"/>
      <c r="F11" s="417"/>
      <c r="G11" s="417"/>
      <c r="H11" s="289"/>
      <c r="I11" s="289">
        <f>H11</f>
        <v>0</v>
      </c>
      <c r="J11" s="195">
        <f t="shared" ref="J11:J12" si="0">H11-I11</f>
        <v>0</v>
      </c>
      <c r="L11" s="942" t="s">
        <v>3478</v>
      </c>
    </row>
    <row r="12" spans="2:12" ht="21.9" customHeight="1">
      <c r="B12" s="418"/>
      <c r="C12" s="417"/>
      <c r="D12" s="417"/>
      <c r="E12" s="417"/>
      <c r="F12" s="417"/>
      <c r="G12" s="417"/>
      <c r="H12" s="289"/>
      <c r="I12" s="289">
        <f>+H12</f>
        <v>0</v>
      </c>
      <c r="J12" s="195">
        <f t="shared" si="0"/>
        <v>0</v>
      </c>
    </row>
    <row r="13" spans="2:12" ht="21.9" customHeight="1">
      <c r="B13" s="418"/>
      <c r="C13" s="417"/>
      <c r="D13" s="417"/>
      <c r="E13" s="417"/>
      <c r="F13" s="417"/>
      <c r="G13" s="417"/>
      <c r="H13" s="289"/>
      <c r="I13" s="289">
        <f t="shared" ref="I13:I42" si="1">+H13</f>
        <v>0</v>
      </c>
      <c r="J13" s="195">
        <f t="shared" ref="J13:J42" si="2">H13-I13</f>
        <v>0</v>
      </c>
    </row>
    <row r="14" spans="2:12" ht="21.9" customHeight="1">
      <c r="B14" s="418"/>
      <c r="C14" s="417"/>
      <c r="D14" s="417"/>
      <c r="E14" s="417"/>
      <c r="F14" s="417"/>
      <c r="G14" s="417"/>
      <c r="H14" s="289"/>
      <c r="I14" s="289">
        <f t="shared" si="1"/>
        <v>0</v>
      </c>
      <c r="J14" s="195">
        <f t="shared" si="2"/>
        <v>0</v>
      </c>
    </row>
    <row r="15" spans="2:12" ht="21.9" customHeight="1">
      <c r="B15" s="418"/>
      <c r="C15" s="417"/>
      <c r="D15" s="417"/>
      <c r="E15" s="417"/>
      <c r="F15" s="417"/>
      <c r="G15" s="417"/>
      <c r="H15" s="289"/>
      <c r="I15" s="289">
        <f t="shared" si="1"/>
        <v>0</v>
      </c>
      <c r="J15" s="195">
        <f t="shared" si="2"/>
        <v>0</v>
      </c>
    </row>
    <row r="16" spans="2:12" ht="21.9" customHeight="1">
      <c r="B16" s="418"/>
      <c r="C16" s="417"/>
      <c r="D16" s="417"/>
      <c r="E16" s="417"/>
      <c r="F16" s="417"/>
      <c r="G16" s="417"/>
      <c r="H16" s="289"/>
      <c r="I16" s="289">
        <f t="shared" si="1"/>
        <v>0</v>
      </c>
      <c r="J16" s="195">
        <f t="shared" si="2"/>
        <v>0</v>
      </c>
    </row>
    <row r="17" spans="2:10" ht="21.9" customHeight="1">
      <c r="B17" s="418"/>
      <c r="C17" s="417"/>
      <c r="D17" s="417"/>
      <c r="E17" s="417"/>
      <c r="F17" s="417"/>
      <c r="G17" s="417"/>
      <c r="H17" s="289"/>
      <c r="I17" s="289">
        <f t="shared" si="1"/>
        <v>0</v>
      </c>
      <c r="J17" s="195">
        <f t="shared" si="2"/>
        <v>0</v>
      </c>
    </row>
    <row r="18" spans="2:10" ht="21.9" customHeight="1">
      <c r="B18" s="418"/>
      <c r="C18" s="417"/>
      <c r="D18" s="417"/>
      <c r="E18" s="417"/>
      <c r="F18" s="417"/>
      <c r="G18" s="417"/>
      <c r="H18" s="289"/>
      <c r="I18" s="289">
        <f t="shared" si="1"/>
        <v>0</v>
      </c>
      <c r="J18" s="195">
        <f t="shared" si="2"/>
        <v>0</v>
      </c>
    </row>
    <row r="19" spans="2:10" ht="21.9" customHeight="1">
      <c r="B19" s="418"/>
      <c r="C19" s="417"/>
      <c r="D19" s="417"/>
      <c r="E19" s="417"/>
      <c r="F19" s="417"/>
      <c r="G19" s="417"/>
      <c r="H19" s="289"/>
      <c r="I19" s="289">
        <f t="shared" si="1"/>
        <v>0</v>
      </c>
      <c r="J19" s="195">
        <f t="shared" si="2"/>
        <v>0</v>
      </c>
    </row>
    <row r="20" spans="2:10" ht="21.9" customHeight="1">
      <c r="B20" s="418"/>
      <c r="C20" s="417"/>
      <c r="D20" s="417"/>
      <c r="E20" s="417"/>
      <c r="F20" s="417"/>
      <c r="G20" s="417"/>
      <c r="H20" s="289"/>
      <c r="I20" s="289">
        <f t="shared" si="1"/>
        <v>0</v>
      </c>
      <c r="J20" s="195">
        <f t="shared" si="2"/>
        <v>0</v>
      </c>
    </row>
    <row r="21" spans="2:10" ht="21.9" customHeight="1">
      <c r="B21" s="418"/>
      <c r="C21" s="417"/>
      <c r="D21" s="417"/>
      <c r="E21" s="417"/>
      <c r="F21" s="417"/>
      <c r="G21" s="417"/>
      <c r="H21" s="289"/>
      <c r="I21" s="289">
        <f t="shared" si="1"/>
        <v>0</v>
      </c>
      <c r="J21" s="195">
        <f t="shared" si="2"/>
        <v>0</v>
      </c>
    </row>
    <row r="22" spans="2:10" ht="21.9" customHeight="1">
      <c r="B22" s="418"/>
      <c r="C22" s="417"/>
      <c r="D22" s="417"/>
      <c r="E22" s="417"/>
      <c r="F22" s="417"/>
      <c r="G22" s="417"/>
      <c r="H22" s="289"/>
      <c r="I22" s="289">
        <f t="shared" si="1"/>
        <v>0</v>
      </c>
      <c r="J22" s="195">
        <f t="shared" si="2"/>
        <v>0</v>
      </c>
    </row>
    <row r="23" spans="2:10" ht="21.9" customHeight="1">
      <c r="B23" s="418"/>
      <c r="C23" s="417"/>
      <c r="D23" s="417"/>
      <c r="E23" s="417"/>
      <c r="F23" s="417"/>
      <c r="G23" s="417"/>
      <c r="H23" s="289"/>
      <c r="I23" s="289">
        <f t="shared" si="1"/>
        <v>0</v>
      </c>
      <c r="J23" s="195">
        <f t="shared" si="2"/>
        <v>0</v>
      </c>
    </row>
    <row r="24" spans="2:10" ht="21.9" customHeight="1">
      <c r="B24" s="418"/>
      <c r="C24" s="417"/>
      <c r="D24" s="417"/>
      <c r="E24" s="417"/>
      <c r="F24" s="417"/>
      <c r="G24" s="417"/>
      <c r="H24" s="289"/>
      <c r="I24" s="289">
        <f t="shared" si="1"/>
        <v>0</v>
      </c>
      <c r="J24" s="195">
        <f t="shared" si="2"/>
        <v>0</v>
      </c>
    </row>
    <row r="25" spans="2:10" ht="21.9" customHeight="1">
      <c r="B25" s="418"/>
      <c r="C25" s="417"/>
      <c r="D25" s="417"/>
      <c r="E25" s="417"/>
      <c r="F25" s="417"/>
      <c r="G25" s="417"/>
      <c r="H25" s="289"/>
      <c r="I25" s="289">
        <f t="shared" si="1"/>
        <v>0</v>
      </c>
      <c r="J25" s="195">
        <f t="shared" si="2"/>
        <v>0</v>
      </c>
    </row>
    <row r="26" spans="2:10" ht="21.9" customHeight="1">
      <c r="B26" s="418"/>
      <c r="C26" s="417"/>
      <c r="D26" s="417"/>
      <c r="E26" s="417"/>
      <c r="F26" s="417"/>
      <c r="G26" s="417"/>
      <c r="H26" s="289"/>
      <c r="I26" s="289">
        <f t="shared" si="1"/>
        <v>0</v>
      </c>
      <c r="J26" s="195">
        <f t="shared" si="2"/>
        <v>0</v>
      </c>
    </row>
    <row r="27" spans="2:10" ht="21.9" customHeight="1">
      <c r="B27" s="418"/>
      <c r="C27" s="417"/>
      <c r="D27" s="417"/>
      <c r="E27" s="417"/>
      <c r="F27" s="417"/>
      <c r="G27" s="417"/>
      <c r="H27" s="289"/>
      <c r="I27" s="289">
        <f t="shared" si="1"/>
        <v>0</v>
      </c>
      <c r="J27" s="195">
        <f t="shared" si="2"/>
        <v>0</v>
      </c>
    </row>
    <row r="28" spans="2:10" ht="21.9" customHeight="1">
      <c r="B28" s="418"/>
      <c r="C28" s="417"/>
      <c r="D28" s="417"/>
      <c r="E28" s="417"/>
      <c r="F28" s="417"/>
      <c r="G28" s="417"/>
      <c r="H28" s="289"/>
      <c r="I28" s="289">
        <f t="shared" si="1"/>
        <v>0</v>
      </c>
      <c r="J28" s="195">
        <f t="shared" si="2"/>
        <v>0</v>
      </c>
    </row>
    <row r="29" spans="2:10" ht="21.9" customHeight="1">
      <c r="B29" s="418"/>
      <c r="C29" s="417"/>
      <c r="D29" s="417"/>
      <c r="E29" s="417"/>
      <c r="F29" s="417"/>
      <c r="G29" s="417"/>
      <c r="H29" s="289"/>
      <c r="I29" s="289">
        <f t="shared" si="1"/>
        <v>0</v>
      </c>
      <c r="J29" s="195">
        <f t="shared" si="2"/>
        <v>0</v>
      </c>
    </row>
    <row r="30" spans="2:10" ht="21.9" customHeight="1">
      <c r="B30" s="418"/>
      <c r="C30" s="417"/>
      <c r="D30" s="417"/>
      <c r="E30" s="417"/>
      <c r="F30" s="417"/>
      <c r="G30" s="417"/>
      <c r="H30" s="289"/>
      <c r="I30" s="289">
        <f t="shared" si="1"/>
        <v>0</v>
      </c>
      <c r="J30" s="195">
        <f t="shared" si="2"/>
        <v>0</v>
      </c>
    </row>
    <row r="31" spans="2:10" ht="21.9" customHeight="1">
      <c r="B31" s="418"/>
      <c r="C31" s="417"/>
      <c r="D31" s="417"/>
      <c r="E31" s="417"/>
      <c r="F31" s="417"/>
      <c r="G31" s="417"/>
      <c r="H31" s="289"/>
      <c r="I31" s="289">
        <f t="shared" si="1"/>
        <v>0</v>
      </c>
      <c r="J31" s="195">
        <f t="shared" si="2"/>
        <v>0</v>
      </c>
    </row>
    <row r="32" spans="2:10" ht="21.9" customHeight="1">
      <c r="B32" s="418"/>
      <c r="C32" s="417"/>
      <c r="D32" s="417"/>
      <c r="E32" s="417"/>
      <c r="F32" s="417"/>
      <c r="G32" s="417"/>
      <c r="H32" s="289"/>
      <c r="I32" s="289">
        <f t="shared" si="1"/>
        <v>0</v>
      </c>
      <c r="J32" s="195">
        <f t="shared" si="2"/>
        <v>0</v>
      </c>
    </row>
    <row r="33" spans="2:11" ht="21.9" customHeight="1">
      <c r="B33" s="418"/>
      <c r="C33" s="417"/>
      <c r="D33" s="417"/>
      <c r="E33" s="417"/>
      <c r="F33" s="417"/>
      <c r="G33" s="417"/>
      <c r="H33" s="289"/>
      <c r="I33" s="289">
        <f t="shared" si="1"/>
        <v>0</v>
      </c>
      <c r="J33" s="195">
        <f t="shared" si="2"/>
        <v>0</v>
      </c>
    </row>
    <row r="34" spans="2:11" ht="21.9" customHeight="1">
      <c r="B34" s="418"/>
      <c r="C34" s="417"/>
      <c r="D34" s="417"/>
      <c r="E34" s="417"/>
      <c r="F34" s="417"/>
      <c r="G34" s="417"/>
      <c r="H34" s="289"/>
      <c r="I34" s="289">
        <f t="shared" si="1"/>
        <v>0</v>
      </c>
      <c r="J34" s="195">
        <f t="shared" si="2"/>
        <v>0</v>
      </c>
    </row>
    <row r="35" spans="2:11" ht="21.9" customHeight="1">
      <c r="B35" s="418"/>
      <c r="C35" s="417"/>
      <c r="D35" s="417"/>
      <c r="E35" s="417"/>
      <c r="F35" s="417"/>
      <c r="G35" s="417"/>
      <c r="H35" s="289"/>
      <c r="I35" s="289">
        <f t="shared" si="1"/>
        <v>0</v>
      </c>
      <c r="J35" s="195">
        <f t="shared" si="2"/>
        <v>0</v>
      </c>
    </row>
    <row r="36" spans="2:11" ht="21.9" customHeight="1">
      <c r="B36" s="418"/>
      <c r="C36" s="417"/>
      <c r="D36" s="417"/>
      <c r="E36" s="417"/>
      <c r="F36" s="417"/>
      <c r="G36" s="417"/>
      <c r="H36" s="289"/>
      <c r="I36" s="289">
        <f t="shared" si="1"/>
        <v>0</v>
      </c>
      <c r="J36" s="195">
        <f t="shared" si="2"/>
        <v>0</v>
      </c>
    </row>
    <row r="37" spans="2:11" ht="21.9" customHeight="1">
      <c r="B37" s="418"/>
      <c r="C37" s="417"/>
      <c r="D37" s="417"/>
      <c r="E37" s="417"/>
      <c r="F37" s="417"/>
      <c r="G37" s="417"/>
      <c r="H37" s="289"/>
      <c r="I37" s="289">
        <f t="shared" si="1"/>
        <v>0</v>
      </c>
      <c r="J37" s="195">
        <f t="shared" si="2"/>
        <v>0</v>
      </c>
    </row>
    <row r="38" spans="2:11" ht="21.9" customHeight="1">
      <c r="B38" s="418"/>
      <c r="C38" s="417"/>
      <c r="D38" s="417"/>
      <c r="E38" s="417"/>
      <c r="F38" s="417"/>
      <c r="G38" s="417"/>
      <c r="H38" s="289"/>
      <c r="I38" s="289">
        <f t="shared" si="1"/>
        <v>0</v>
      </c>
      <c r="J38" s="195">
        <f t="shared" si="2"/>
        <v>0</v>
      </c>
    </row>
    <row r="39" spans="2:11" ht="21.9" customHeight="1">
      <c r="B39" s="418"/>
      <c r="C39" s="417"/>
      <c r="D39" s="417"/>
      <c r="E39" s="417"/>
      <c r="F39" s="417"/>
      <c r="G39" s="417"/>
      <c r="H39" s="289"/>
      <c r="I39" s="289">
        <f t="shared" si="1"/>
        <v>0</v>
      </c>
      <c r="J39" s="195">
        <f t="shared" si="2"/>
        <v>0</v>
      </c>
    </row>
    <row r="40" spans="2:11" ht="21.9" customHeight="1">
      <c r="B40" s="418"/>
      <c r="C40" s="417"/>
      <c r="D40" s="417"/>
      <c r="E40" s="417"/>
      <c r="F40" s="417"/>
      <c r="G40" s="417"/>
      <c r="H40" s="289"/>
      <c r="I40" s="289">
        <f t="shared" si="1"/>
        <v>0</v>
      </c>
      <c r="J40" s="195">
        <f t="shared" si="2"/>
        <v>0</v>
      </c>
    </row>
    <row r="41" spans="2:11" ht="21.9" customHeight="1">
      <c r="B41" s="418"/>
      <c r="C41" s="417"/>
      <c r="D41" s="417"/>
      <c r="E41" s="417"/>
      <c r="F41" s="417"/>
      <c r="G41" s="417"/>
      <c r="H41" s="289"/>
      <c r="I41" s="289">
        <f t="shared" si="1"/>
        <v>0</v>
      </c>
      <c r="J41" s="195">
        <f t="shared" si="2"/>
        <v>0</v>
      </c>
    </row>
    <row r="42" spans="2:11" ht="21.9" customHeight="1">
      <c r="B42" s="418"/>
      <c r="C42" s="417"/>
      <c r="D42" s="417"/>
      <c r="E42" s="417"/>
      <c r="F42" s="417"/>
      <c r="G42" s="417"/>
      <c r="H42" s="289"/>
      <c r="I42" s="289">
        <f t="shared" si="1"/>
        <v>0</v>
      </c>
      <c r="J42" s="195">
        <f t="shared" si="2"/>
        <v>0</v>
      </c>
    </row>
    <row r="43" spans="2:11" ht="21.9" customHeight="1" thickBot="1">
      <c r="B43" s="27"/>
      <c r="C43" s="264" t="s">
        <v>3262</v>
      </c>
      <c r="D43" s="27"/>
      <c r="E43" s="27"/>
      <c r="F43" s="27"/>
      <c r="G43" s="27"/>
      <c r="H43" s="101">
        <f>SUM(H10:H42)</f>
        <v>0</v>
      </c>
      <c r="I43" s="101">
        <f>SUM(I10:I42)</f>
        <v>0</v>
      </c>
      <c r="J43" s="215">
        <f>SUM(J10:J42)</f>
        <v>0</v>
      </c>
      <c r="K43" s="204"/>
    </row>
    <row r="44" spans="2:11" ht="13.8" thickTop="1">
      <c r="B44" t="s">
        <v>278</v>
      </c>
    </row>
    <row r="45" spans="2:11">
      <c r="B45" t="s">
        <v>279</v>
      </c>
    </row>
    <row r="46" spans="2:11">
      <c r="B46" t="s">
        <v>280</v>
      </c>
      <c r="H46" s="204"/>
    </row>
    <row r="48" spans="2:11">
      <c r="B48" t="s">
        <v>281</v>
      </c>
      <c r="E48" s="1166" t="s">
        <v>3810</v>
      </c>
      <c r="F48" s="1164"/>
      <c r="G48" s="1164"/>
      <c r="H48" s="1164"/>
    </row>
    <row r="49" spans="2:10" ht="13.8">
      <c r="B49" s="1130" t="s">
        <v>828</v>
      </c>
      <c r="C49" s="1130"/>
      <c r="D49" s="1130"/>
      <c r="E49" s="1130"/>
      <c r="F49" s="1130"/>
      <c r="G49" s="1130"/>
      <c r="H49" s="1130"/>
      <c r="I49" s="1130"/>
      <c r="J49" s="1130"/>
    </row>
    <row r="52" spans="2:10">
      <c r="I52" s="204"/>
    </row>
  </sheetData>
  <sheetProtection algorithmName="SHA-512" hashValue="6gAwbm3n5T8zawin9orzJ7UCaJoHOxJm19JwXsJv9EhuoIWNUHrazgbpwi8TXTPHt+nrH437Sa4NE6B7AQf2wA==" saltValue="YJuHH1EAdzZhBw/axjcSxw==" spinCount="100000" sheet="1" objects="1" scenarios="1"/>
  <mergeCells count="6">
    <mergeCell ref="B49:J49"/>
    <mergeCell ref="B4:J4"/>
    <mergeCell ref="B5:J5"/>
    <mergeCell ref="B7:J7"/>
    <mergeCell ref="B9:G9"/>
    <mergeCell ref="E48:H48"/>
  </mergeCells>
  <phoneticPr fontId="0" type="noConversion"/>
  <pageMargins left="0.25" right="0.25" top="0.5" bottom="0.5" header="0.25" footer="0.25"/>
  <pageSetup paperSize="5" scale="98"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CEE80-EEE8-40B2-BBA0-368AC43F75F6}">
  <sheetPr codeName="Sheet111"/>
  <dimension ref="B4:L52"/>
  <sheetViews>
    <sheetView zoomScaleNormal="100" zoomScaleSheetLayoutView="90" workbookViewId="0">
      <selection activeCell="B8" sqref="B8"/>
    </sheetView>
  </sheetViews>
  <sheetFormatPr defaultColWidth="9.109375" defaultRowHeight="13.2"/>
  <cols>
    <col min="1" max="3" width="4.6640625" customWidth="1"/>
    <col min="7" max="7" width="9.109375" customWidth="1"/>
    <col min="8" max="9" width="16.6640625" customWidth="1"/>
    <col min="10" max="10" width="19.5546875" customWidth="1"/>
  </cols>
  <sheetData>
    <row r="4" spans="2:12" ht="22.8">
      <c r="B4" s="1176" t="str">
        <f>'17-Budget Revenues'!B2:J2</f>
        <v>STATEMENT OF GENERAL BUDGET REVENUES 2024</v>
      </c>
      <c r="C4" s="1176"/>
      <c r="D4" s="1176"/>
      <c r="E4" s="1176"/>
      <c r="F4" s="1176"/>
      <c r="G4" s="1176"/>
      <c r="H4" s="1176"/>
      <c r="I4" s="1176"/>
      <c r="J4" s="1176"/>
    </row>
    <row r="5" spans="2:12" ht="13.8">
      <c r="B5" s="1130" t="s">
        <v>263</v>
      </c>
      <c r="C5" s="1130"/>
      <c r="D5" s="1130"/>
      <c r="E5" s="1130"/>
      <c r="F5" s="1130"/>
      <c r="G5" s="1130"/>
      <c r="H5" s="1130"/>
      <c r="I5" s="1130"/>
      <c r="J5" s="1130"/>
    </row>
    <row r="7" spans="2:12" ht="15.6">
      <c r="B7" s="1168" t="s">
        <v>3557</v>
      </c>
      <c r="C7" s="1168"/>
      <c r="D7" s="1168"/>
      <c r="E7" s="1168"/>
      <c r="F7" s="1168"/>
      <c r="G7" s="1168"/>
      <c r="H7" s="1168"/>
      <c r="I7" s="1168"/>
      <c r="J7" s="1168"/>
    </row>
    <row r="8" spans="2:12" ht="8.25" customHeight="1" thickBot="1">
      <c r="B8" s="10"/>
      <c r="C8" s="10"/>
      <c r="D8" s="10"/>
      <c r="E8" s="10"/>
      <c r="F8" s="10"/>
      <c r="G8" s="10"/>
      <c r="H8" s="10"/>
      <c r="I8" s="10"/>
      <c r="J8" s="10"/>
    </row>
    <row r="9" spans="2:12" ht="32.1" customHeight="1" thickTop="1" thickBot="1">
      <c r="B9" s="1179" t="s">
        <v>165</v>
      </c>
      <c r="C9" s="1179"/>
      <c r="D9" s="1179"/>
      <c r="E9" s="1179"/>
      <c r="F9" s="1179"/>
      <c r="G9" s="1179"/>
      <c r="H9" s="4" t="s">
        <v>534</v>
      </c>
      <c r="I9" s="4" t="s">
        <v>636</v>
      </c>
      <c r="J9" s="3" t="s">
        <v>264</v>
      </c>
    </row>
    <row r="10" spans="2:12" ht="21.9" customHeight="1" thickTop="1">
      <c r="B10" s="603" t="s">
        <v>3263</v>
      </c>
      <c r="C10" s="22"/>
      <c r="D10" s="22"/>
      <c r="E10" s="22"/>
      <c r="F10" s="22"/>
      <c r="G10" s="22"/>
      <c r="H10" s="59">
        <f>+'17a-Budget Revenues'!H43</f>
        <v>0</v>
      </c>
      <c r="I10" s="59">
        <f>+'17a-Budget Revenues'!I43</f>
        <v>0</v>
      </c>
      <c r="J10" s="60">
        <f>+'17a-Budget Revenues'!J43</f>
        <v>0</v>
      </c>
    </row>
    <row r="11" spans="2:12" ht="21.9" customHeight="1">
      <c r="B11" s="418"/>
      <c r="C11" s="417"/>
      <c r="D11" s="417"/>
      <c r="E11" s="417"/>
      <c r="F11" s="417"/>
      <c r="G11" s="417"/>
      <c r="H11" s="289"/>
      <c r="I11" s="289">
        <f t="shared" ref="I11:I42" si="0">+H11</f>
        <v>0</v>
      </c>
      <c r="J11" s="195">
        <f t="shared" ref="J11:J42" si="1">H11-I11</f>
        <v>0</v>
      </c>
      <c r="L11" s="942" t="s">
        <v>3478</v>
      </c>
    </row>
    <row r="12" spans="2:12" ht="21.9" customHeight="1">
      <c r="B12" s="418"/>
      <c r="C12" s="417"/>
      <c r="D12" s="417"/>
      <c r="E12" s="417"/>
      <c r="F12" s="417"/>
      <c r="G12" s="417"/>
      <c r="H12" s="289"/>
      <c r="I12" s="289">
        <f t="shared" si="0"/>
        <v>0</v>
      </c>
      <c r="J12" s="195">
        <f t="shared" si="1"/>
        <v>0</v>
      </c>
    </row>
    <row r="13" spans="2:12" ht="21.9" customHeight="1">
      <c r="B13" s="418"/>
      <c r="C13" s="417"/>
      <c r="D13" s="417"/>
      <c r="E13" s="417"/>
      <c r="F13" s="417"/>
      <c r="G13" s="417"/>
      <c r="H13" s="289"/>
      <c r="I13" s="289">
        <f t="shared" si="0"/>
        <v>0</v>
      </c>
      <c r="J13" s="195">
        <f t="shared" si="1"/>
        <v>0</v>
      </c>
    </row>
    <row r="14" spans="2:12" ht="21.9" customHeight="1">
      <c r="B14" s="418"/>
      <c r="C14" s="417"/>
      <c r="D14" s="417"/>
      <c r="E14" s="417"/>
      <c r="F14" s="417"/>
      <c r="G14" s="417"/>
      <c r="H14" s="289"/>
      <c r="I14" s="289">
        <f t="shared" si="0"/>
        <v>0</v>
      </c>
      <c r="J14" s="195">
        <f t="shared" si="1"/>
        <v>0</v>
      </c>
    </row>
    <row r="15" spans="2:12" ht="21.9" customHeight="1">
      <c r="B15" s="418"/>
      <c r="C15" s="417"/>
      <c r="D15" s="417"/>
      <c r="E15" s="417"/>
      <c r="F15" s="417"/>
      <c r="G15" s="417"/>
      <c r="H15" s="289"/>
      <c r="I15" s="289">
        <f t="shared" si="0"/>
        <v>0</v>
      </c>
      <c r="J15" s="195">
        <f t="shared" si="1"/>
        <v>0</v>
      </c>
    </row>
    <row r="16" spans="2:12" ht="21.9" customHeight="1">
      <c r="B16" s="418"/>
      <c r="C16" s="417"/>
      <c r="D16" s="417"/>
      <c r="E16" s="417"/>
      <c r="F16" s="417"/>
      <c r="G16" s="417"/>
      <c r="H16" s="289"/>
      <c r="I16" s="289">
        <f t="shared" si="0"/>
        <v>0</v>
      </c>
      <c r="J16" s="195">
        <f t="shared" si="1"/>
        <v>0</v>
      </c>
    </row>
    <row r="17" spans="2:10" ht="21.9" customHeight="1">
      <c r="B17" s="418"/>
      <c r="C17" s="417"/>
      <c r="D17" s="417"/>
      <c r="E17" s="417"/>
      <c r="F17" s="417"/>
      <c r="G17" s="417"/>
      <c r="H17" s="289"/>
      <c r="I17" s="289">
        <f t="shared" si="0"/>
        <v>0</v>
      </c>
      <c r="J17" s="195">
        <f t="shared" si="1"/>
        <v>0</v>
      </c>
    </row>
    <row r="18" spans="2:10" ht="21.9" customHeight="1">
      <c r="B18" s="418"/>
      <c r="C18" s="417"/>
      <c r="D18" s="417"/>
      <c r="E18" s="417"/>
      <c r="F18" s="417"/>
      <c r="G18" s="417"/>
      <c r="H18" s="289"/>
      <c r="I18" s="289">
        <f t="shared" si="0"/>
        <v>0</v>
      </c>
      <c r="J18" s="195">
        <f t="shared" si="1"/>
        <v>0</v>
      </c>
    </row>
    <row r="19" spans="2:10" ht="21.9" customHeight="1">
      <c r="B19" s="418"/>
      <c r="C19" s="417"/>
      <c r="D19" s="417"/>
      <c r="E19" s="417"/>
      <c r="F19" s="417"/>
      <c r="G19" s="417"/>
      <c r="H19" s="289"/>
      <c r="I19" s="289">
        <f t="shared" si="0"/>
        <v>0</v>
      </c>
      <c r="J19" s="195">
        <f t="shared" si="1"/>
        <v>0</v>
      </c>
    </row>
    <row r="20" spans="2:10" ht="21.9" customHeight="1">
      <c r="B20" s="418"/>
      <c r="C20" s="417"/>
      <c r="D20" s="417"/>
      <c r="E20" s="417"/>
      <c r="F20" s="417"/>
      <c r="G20" s="417"/>
      <c r="H20" s="289"/>
      <c r="I20" s="289">
        <f t="shared" si="0"/>
        <v>0</v>
      </c>
      <c r="J20" s="195">
        <f t="shared" si="1"/>
        <v>0</v>
      </c>
    </row>
    <row r="21" spans="2:10" ht="21.9" customHeight="1">
      <c r="B21" s="418"/>
      <c r="C21" s="417"/>
      <c r="D21" s="417"/>
      <c r="E21" s="417"/>
      <c r="F21" s="417"/>
      <c r="G21" s="417"/>
      <c r="H21" s="289"/>
      <c r="I21" s="289">
        <f t="shared" si="0"/>
        <v>0</v>
      </c>
      <c r="J21" s="195">
        <f t="shared" si="1"/>
        <v>0</v>
      </c>
    </row>
    <row r="22" spans="2:10" ht="21.9" customHeight="1">
      <c r="B22" s="418"/>
      <c r="C22" s="417"/>
      <c r="D22" s="417"/>
      <c r="E22" s="417"/>
      <c r="F22" s="417"/>
      <c r="G22" s="417"/>
      <c r="H22" s="289"/>
      <c r="I22" s="289">
        <f t="shared" si="0"/>
        <v>0</v>
      </c>
      <c r="J22" s="195">
        <f t="shared" si="1"/>
        <v>0</v>
      </c>
    </row>
    <row r="23" spans="2:10" ht="21.9" customHeight="1">
      <c r="B23" s="418"/>
      <c r="C23" s="417"/>
      <c r="D23" s="417"/>
      <c r="E23" s="417"/>
      <c r="F23" s="417"/>
      <c r="G23" s="417"/>
      <c r="H23" s="289"/>
      <c r="I23" s="289">
        <f t="shared" si="0"/>
        <v>0</v>
      </c>
      <c r="J23" s="195">
        <f t="shared" si="1"/>
        <v>0</v>
      </c>
    </row>
    <row r="24" spans="2:10" ht="21.9" customHeight="1">
      <c r="B24" s="418"/>
      <c r="C24" s="417"/>
      <c r="D24" s="417"/>
      <c r="E24" s="417"/>
      <c r="F24" s="417"/>
      <c r="G24" s="417"/>
      <c r="H24" s="289"/>
      <c r="I24" s="289">
        <f t="shared" si="0"/>
        <v>0</v>
      </c>
      <c r="J24" s="195">
        <f t="shared" si="1"/>
        <v>0</v>
      </c>
    </row>
    <row r="25" spans="2:10" ht="21.9" customHeight="1">
      <c r="B25" s="418"/>
      <c r="C25" s="417"/>
      <c r="D25" s="417"/>
      <c r="E25" s="417"/>
      <c r="F25" s="417"/>
      <c r="G25" s="417"/>
      <c r="H25" s="289"/>
      <c r="I25" s="289">
        <f t="shared" si="0"/>
        <v>0</v>
      </c>
      <c r="J25" s="195">
        <f t="shared" si="1"/>
        <v>0</v>
      </c>
    </row>
    <row r="26" spans="2:10" ht="21.9" customHeight="1">
      <c r="B26" s="418"/>
      <c r="C26" s="417"/>
      <c r="D26" s="417"/>
      <c r="E26" s="417"/>
      <c r="F26" s="417"/>
      <c r="G26" s="417"/>
      <c r="H26" s="289"/>
      <c r="I26" s="289">
        <f t="shared" si="0"/>
        <v>0</v>
      </c>
      <c r="J26" s="195">
        <f t="shared" si="1"/>
        <v>0</v>
      </c>
    </row>
    <row r="27" spans="2:10" ht="21.9" customHeight="1">
      <c r="B27" s="418"/>
      <c r="C27" s="417"/>
      <c r="D27" s="417"/>
      <c r="E27" s="417"/>
      <c r="F27" s="417"/>
      <c r="G27" s="417"/>
      <c r="H27" s="289"/>
      <c r="I27" s="289">
        <f t="shared" si="0"/>
        <v>0</v>
      </c>
      <c r="J27" s="195">
        <f t="shared" si="1"/>
        <v>0</v>
      </c>
    </row>
    <row r="28" spans="2:10" ht="21.9" customHeight="1">
      <c r="B28" s="418"/>
      <c r="C28" s="417"/>
      <c r="D28" s="417"/>
      <c r="E28" s="417"/>
      <c r="F28" s="417"/>
      <c r="G28" s="417"/>
      <c r="H28" s="289"/>
      <c r="I28" s="289">
        <f t="shared" si="0"/>
        <v>0</v>
      </c>
      <c r="J28" s="195">
        <f t="shared" si="1"/>
        <v>0</v>
      </c>
    </row>
    <row r="29" spans="2:10" ht="21.9" customHeight="1">
      <c r="B29" s="418"/>
      <c r="C29" s="417"/>
      <c r="D29" s="417"/>
      <c r="E29" s="417"/>
      <c r="F29" s="417"/>
      <c r="G29" s="417"/>
      <c r="H29" s="289"/>
      <c r="I29" s="289">
        <f t="shared" si="0"/>
        <v>0</v>
      </c>
      <c r="J29" s="195">
        <f t="shared" si="1"/>
        <v>0</v>
      </c>
    </row>
    <row r="30" spans="2:10" ht="21.9" customHeight="1">
      <c r="B30" s="418"/>
      <c r="C30" s="417"/>
      <c r="D30" s="417"/>
      <c r="E30" s="417"/>
      <c r="F30" s="417"/>
      <c r="G30" s="417"/>
      <c r="H30" s="289"/>
      <c r="I30" s="289">
        <f t="shared" si="0"/>
        <v>0</v>
      </c>
      <c r="J30" s="195">
        <f t="shared" si="1"/>
        <v>0</v>
      </c>
    </row>
    <row r="31" spans="2:10" ht="21.9" customHeight="1">
      <c r="B31" s="418"/>
      <c r="C31" s="417"/>
      <c r="D31" s="417"/>
      <c r="E31" s="417"/>
      <c r="F31" s="417"/>
      <c r="G31" s="417"/>
      <c r="H31" s="289"/>
      <c r="I31" s="289">
        <f t="shared" si="0"/>
        <v>0</v>
      </c>
      <c r="J31" s="195">
        <f t="shared" si="1"/>
        <v>0</v>
      </c>
    </row>
    <row r="32" spans="2:10" ht="21.9" customHeight="1">
      <c r="B32" s="418"/>
      <c r="C32" s="417"/>
      <c r="D32" s="417"/>
      <c r="E32" s="417"/>
      <c r="F32" s="417"/>
      <c r="G32" s="417"/>
      <c r="H32" s="289"/>
      <c r="I32" s="289">
        <f t="shared" si="0"/>
        <v>0</v>
      </c>
      <c r="J32" s="195">
        <f t="shared" si="1"/>
        <v>0</v>
      </c>
    </row>
    <row r="33" spans="2:11" ht="21.9" customHeight="1">
      <c r="B33" s="418"/>
      <c r="C33" s="417"/>
      <c r="D33" s="417"/>
      <c r="E33" s="417"/>
      <c r="F33" s="417"/>
      <c r="G33" s="417"/>
      <c r="H33" s="289"/>
      <c r="I33" s="289">
        <f t="shared" si="0"/>
        <v>0</v>
      </c>
      <c r="J33" s="195">
        <f t="shared" si="1"/>
        <v>0</v>
      </c>
    </row>
    <row r="34" spans="2:11" ht="21.9" customHeight="1">
      <c r="B34" s="418"/>
      <c r="C34" s="417"/>
      <c r="D34" s="417"/>
      <c r="E34" s="417"/>
      <c r="F34" s="417"/>
      <c r="G34" s="417"/>
      <c r="H34" s="289"/>
      <c r="I34" s="289">
        <f t="shared" si="0"/>
        <v>0</v>
      </c>
      <c r="J34" s="195">
        <f t="shared" si="1"/>
        <v>0</v>
      </c>
    </row>
    <row r="35" spans="2:11" ht="21.9" customHeight="1">
      <c r="B35" s="418"/>
      <c r="C35" s="417"/>
      <c r="D35" s="417"/>
      <c r="E35" s="417"/>
      <c r="F35" s="417"/>
      <c r="G35" s="417"/>
      <c r="H35" s="289"/>
      <c r="I35" s="289">
        <f t="shared" si="0"/>
        <v>0</v>
      </c>
      <c r="J35" s="195">
        <f t="shared" si="1"/>
        <v>0</v>
      </c>
    </row>
    <row r="36" spans="2:11" ht="21.9" customHeight="1">
      <c r="B36" s="418"/>
      <c r="C36" s="417"/>
      <c r="D36" s="417"/>
      <c r="E36" s="417"/>
      <c r="F36" s="417"/>
      <c r="G36" s="417"/>
      <c r="H36" s="289"/>
      <c r="I36" s="289">
        <f t="shared" si="0"/>
        <v>0</v>
      </c>
      <c r="J36" s="195">
        <f t="shared" si="1"/>
        <v>0</v>
      </c>
    </row>
    <row r="37" spans="2:11" ht="21.9" customHeight="1">
      <c r="B37" s="418"/>
      <c r="C37" s="417"/>
      <c r="D37" s="417"/>
      <c r="E37" s="417"/>
      <c r="F37" s="417"/>
      <c r="G37" s="417"/>
      <c r="H37" s="289"/>
      <c r="I37" s="289">
        <f t="shared" si="0"/>
        <v>0</v>
      </c>
      <c r="J37" s="195">
        <f t="shared" si="1"/>
        <v>0</v>
      </c>
    </row>
    <row r="38" spans="2:11" ht="21.9" customHeight="1">
      <c r="B38" s="418"/>
      <c r="C38" s="417"/>
      <c r="D38" s="417"/>
      <c r="E38" s="417"/>
      <c r="F38" s="417"/>
      <c r="G38" s="417"/>
      <c r="H38" s="289"/>
      <c r="I38" s="289">
        <f t="shared" si="0"/>
        <v>0</v>
      </c>
      <c r="J38" s="195">
        <f t="shared" si="1"/>
        <v>0</v>
      </c>
    </row>
    <row r="39" spans="2:11" ht="21.9" customHeight="1">
      <c r="B39" s="418"/>
      <c r="C39" s="417"/>
      <c r="D39" s="417"/>
      <c r="E39" s="417"/>
      <c r="F39" s="417"/>
      <c r="G39" s="417"/>
      <c r="H39" s="289"/>
      <c r="I39" s="289">
        <f t="shared" si="0"/>
        <v>0</v>
      </c>
      <c r="J39" s="195">
        <f t="shared" si="1"/>
        <v>0</v>
      </c>
    </row>
    <row r="40" spans="2:11" ht="21.9" customHeight="1">
      <c r="B40" s="418"/>
      <c r="C40" s="417"/>
      <c r="D40" s="417"/>
      <c r="E40" s="417"/>
      <c r="F40" s="417"/>
      <c r="G40" s="417"/>
      <c r="H40" s="289"/>
      <c r="I40" s="289">
        <f t="shared" si="0"/>
        <v>0</v>
      </c>
      <c r="J40" s="195">
        <f t="shared" si="1"/>
        <v>0</v>
      </c>
    </row>
    <row r="41" spans="2:11" ht="21.9" customHeight="1">
      <c r="B41" s="418"/>
      <c r="C41" s="417"/>
      <c r="D41" s="417"/>
      <c r="E41" s="417"/>
      <c r="F41" s="417"/>
      <c r="G41" s="417"/>
      <c r="H41" s="289"/>
      <c r="I41" s="289">
        <f t="shared" si="0"/>
        <v>0</v>
      </c>
      <c r="J41" s="195">
        <f t="shared" si="1"/>
        <v>0</v>
      </c>
    </row>
    <row r="42" spans="2:11" ht="21.9" customHeight="1">
      <c r="B42" s="418"/>
      <c r="C42" s="417"/>
      <c r="D42" s="417"/>
      <c r="E42" s="417"/>
      <c r="F42" s="417"/>
      <c r="G42" s="417"/>
      <c r="H42" s="289"/>
      <c r="I42" s="289">
        <f t="shared" si="0"/>
        <v>0</v>
      </c>
      <c r="J42" s="195">
        <f t="shared" si="1"/>
        <v>0</v>
      </c>
    </row>
    <row r="43" spans="2:11" ht="21.9" customHeight="1" thickBot="1">
      <c r="B43" s="27"/>
      <c r="C43" s="264" t="s">
        <v>3262</v>
      </c>
      <c r="D43" s="27"/>
      <c r="E43" s="27"/>
      <c r="F43" s="27"/>
      <c r="G43" s="27"/>
      <c r="H43" s="101">
        <f>SUM(H10:H42)</f>
        <v>0</v>
      </c>
      <c r="I43" s="101">
        <f>SUM(I10:I42)</f>
        <v>0</v>
      </c>
      <c r="J43" s="215">
        <f>SUM(J10:J42)</f>
        <v>0</v>
      </c>
      <c r="K43" s="204"/>
    </row>
    <row r="44" spans="2:11" ht="13.8" thickTop="1">
      <c r="B44" t="s">
        <v>278</v>
      </c>
    </row>
    <row r="45" spans="2:11">
      <c r="B45" t="s">
        <v>279</v>
      </c>
    </row>
    <row r="46" spans="2:11">
      <c r="B46" t="s">
        <v>280</v>
      </c>
      <c r="H46" s="204"/>
    </row>
    <row r="48" spans="2:11">
      <c r="B48" t="s">
        <v>281</v>
      </c>
      <c r="E48" s="1164"/>
      <c r="F48" s="1164"/>
      <c r="G48" s="1164"/>
      <c r="H48" s="1164"/>
    </row>
    <row r="49" spans="2:10" ht="13.8">
      <c r="B49" s="1130" t="s">
        <v>3332</v>
      </c>
      <c r="C49" s="1130"/>
      <c r="D49" s="1130"/>
      <c r="E49" s="1130"/>
      <c r="F49" s="1130"/>
      <c r="G49" s="1130"/>
      <c r="H49" s="1130"/>
      <c r="I49" s="1130"/>
      <c r="J49" s="1130"/>
    </row>
    <row r="52" spans="2:10">
      <c r="I52" s="204"/>
    </row>
  </sheetData>
  <sheetProtection algorithmName="SHA-512" hashValue="l+psSsWcfrA8DAZUNxu4SxKIltkHBxP6+usTHyMVH9yzrm7kDAXIApVdVNkfcJmirVdUzHJL5MSaedAsq5ct6w==" saltValue="LW+f302Oa9Wxz+xuL1z5zQ=="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03FF2-2328-48D1-B6C2-D7F93D2B5348}">
  <sheetPr codeName="Sheet112"/>
  <dimension ref="B4:L52"/>
  <sheetViews>
    <sheetView zoomScaleNormal="100" zoomScaleSheetLayoutView="90" workbookViewId="0">
      <selection activeCell="B8" sqref="B8"/>
    </sheetView>
  </sheetViews>
  <sheetFormatPr defaultColWidth="9.109375" defaultRowHeight="13.2"/>
  <cols>
    <col min="1" max="3" width="4.6640625" customWidth="1"/>
    <col min="7" max="7" width="9.109375" customWidth="1"/>
    <col min="8" max="9" width="16.6640625" customWidth="1"/>
    <col min="10" max="10" width="19.5546875" customWidth="1"/>
  </cols>
  <sheetData>
    <row r="4" spans="2:12" ht="22.8">
      <c r="B4" s="1176" t="str">
        <f>'17-Budget Revenues'!B2:J2</f>
        <v>STATEMENT OF GENERAL BUDGET REVENUES 2024</v>
      </c>
      <c r="C4" s="1176"/>
      <c r="D4" s="1176"/>
      <c r="E4" s="1176"/>
      <c r="F4" s="1176"/>
      <c r="G4" s="1176"/>
      <c r="H4" s="1176"/>
      <c r="I4" s="1176"/>
      <c r="J4" s="1176"/>
    </row>
    <row r="5" spans="2:12" ht="13.8">
      <c r="B5" s="1130" t="s">
        <v>263</v>
      </c>
      <c r="C5" s="1130"/>
      <c r="D5" s="1130"/>
      <c r="E5" s="1130"/>
      <c r="F5" s="1130"/>
      <c r="G5" s="1130"/>
      <c r="H5" s="1130"/>
      <c r="I5" s="1130"/>
      <c r="J5" s="1130"/>
    </row>
    <row r="7" spans="2:12" ht="15.6">
      <c r="B7" s="1168" t="s">
        <v>3557</v>
      </c>
      <c r="C7" s="1168"/>
      <c r="D7" s="1168"/>
      <c r="E7" s="1168"/>
      <c r="F7" s="1168"/>
      <c r="G7" s="1168"/>
      <c r="H7" s="1168"/>
      <c r="I7" s="1168"/>
      <c r="J7" s="1168"/>
    </row>
    <row r="8" spans="2:12" ht="8.25" customHeight="1" thickBot="1">
      <c r="B8" s="10"/>
      <c r="C8" s="10"/>
      <c r="D8" s="10"/>
      <c r="E8" s="10"/>
      <c r="F8" s="10"/>
      <c r="G8" s="10"/>
      <c r="H8" s="10"/>
      <c r="I8" s="10"/>
      <c r="J8" s="10"/>
    </row>
    <row r="9" spans="2:12" ht="32.1" customHeight="1" thickTop="1" thickBot="1">
      <c r="B9" s="1179" t="s">
        <v>165</v>
      </c>
      <c r="C9" s="1179"/>
      <c r="D9" s="1179"/>
      <c r="E9" s="1179"/>
      <c r="F9" s="1179"/>
      <c r="G9" s="1179"/>
      <c r="H9" s="4" t="s">
        <v>534</v>
      </c>
      <c r="I9" s="4" t="s">
        <v>636</v>
      </c>
      <c r="J9" s="3" t="s">
        <v>264</v>
      </c>
    </row>
    <row r="10" spans="2:12" ht="21.9" customHeight="1" thickTop="1">
      <c r="B10" s="603" t="s">
        <v>3263</v>
      </c>
      <c r="C10" s="22"/>
      <c r="D10" s="22"/>
      <c r="E10" s="22"/>
      <c r="F10" s="22"/>
      <c r="G10" s="22"/>
      <c r="H10" s="59">
        <f>+'17a.1-Budget Revenues '!H43</f>
        <v>0</v>
      </c>
      <c r="I10" s="59">
        <f>+'17a.1-Budget Revenues '!I43</f>
        <v>0</v>
      </c>
      <c r="J10" s="60">
        <f>+'17a.1-Budget Revenues '!J43</f>
        <v>0</v>
      </c>
    </row>
    <row r="11" spans="2:12" ht="21.9" customHeight="1">
      <c r="B11" s="418"/>
      <c r="C11" s="417"/>
      <c r="D11" s="417"/>
      <c r="E11" s="417"/>
      <c r="F11" s="417"/>
      <c r="G11" s="417"/>
      <c r="H11" s="289"/>
      <c r="I11" s="289">
        <f t="shared" ref="I11:I42" si="0">+H11</f>
        <v>0</v>
      </c>
      <c r="J11" s="195">
        <f t="shared" ref="J11:J42" si="1">H11-I11</f>
        <v>0</v>
      </c>
      <c r="L11" s="942" t="s">
        <v>3478</v>
      </c>
    </row>
    <row r="12" spans="2:12" ht="21.9" customHeight="1">
      <c r="B12" s="418"/>
      <c r="C12" s="417"/>
      <c r="D12" s="417"/>
      <c r="E12" s="417"/>
      <c r="F12" s="417"/>
      <c r="G12" s="417"/>
      <c r="H12" s="289"/>
      <c r="I12" s="289">
        <f t="shared" si="0"/>
        <v>0</v>
      </c>
      <c r="J12" s="195">
        <f t="shared" si="1"/>
        <v>0</v>
      </c>
    </row>
    <row r="13" spans="2:12" ht="21.9" customHeight="1">
      <c r="B13" s="418"/>
      <c r="C13" s="417"/>
      <c r="D13" s="417"/>
      <c r="E13" s="417"/>
      <c r="F13" s="417"/>
      <c r="G13" s="417"/>
      <c r="H13" s="289"/>
      <c r="I13" s="289">
        <f t="shared" si="0"/>
        <v>0</v>
      </c>
      <c r="J13" s="195">
        <f t="shared" si="1"/>
        <v>0</v>
      </c>
    </row>
    <row r="14" spans="2:12" ht="21.9" customHeight="1">
      <c r="B14" s="418"/>
      <c r="C14" s="417"/>
      <c r="D14" s="417"/>
      <c r="E14" s="417"/>
      <c r="F14" s="417"/>
      <c r="G14" s="417"/>
      <c r="H14" s="289"/>
      <c r="I14" s="289">
        <f t="shared" si="0"/>
        <v>0</v>
      </c>
      <c r="J14" s="195">
        <f t="shared" si="1"/>
        <v>0</v>
      </c>
    </row>
    <row r="15" spans="2:12" ht="21.9" customHeight="1">
      <c r="B15" s="418"/>
      <c r="C15" s="417"/>
      <c r="D15" s="417"/>
      <c r="E15" s="417"/>
      <c r="F15" s="417"/>
      <c r="G15" s="417"/>
      <c r="H15" s="289"/>
      <c r="I15" s="289">
        <f t="shared" si="0"/>
        <v>0</v>
      </c>
      <c r="J15" s="195">
        <f t="shared" si="1"/>
        <v>0</v>
      </c>
    </row>
    <row r="16" spans="2:12" ht="21.9" customHeight="1">
      <c r="B16" s="418"/>
      <c r="C16" s="417"/>
      <c r="D16" s="417"/>
      <c r="E16" s="417"/>
      <c r="F16" s="417"/>
      <c r="G16" s="417"/>
      <c r="H16" s="289"/>
      <c r="I16" s="289">
        <f t="shared" si="0"/>
        <v>0</v>
      </c>
      <c r="J16" s="195">
        <f t="shared" si="1"/>
        <v>0</v>
      </c>
    </row>
    <row r="17" spans="2:10" ht="21.9" customHeight="1">
      <c r="B17" s="418"/>
      <c r="C17" s="417"/>
      <c r="D17" s="417"/>
      <c r="E17" s="417"/>
      <c r="F17" s="417"/>
      <c r="G17" s="417"/>
      <c r="H17" s="289"/>
      <c r="I17" s="289">
        <f t="shared" si="0"/>
        <v>0</v>
      </c>
      <c r="J17" s="195">
        <f t="shared" si="1"/>
        <v>0</v>
      </c>
    </row>
    <row r="18" spans="2:10" ht="21.9" customHeight="1">
      <c r="B18" s="418"/>
      <c r="C18" s="417"/>
      <c r="D18" s="417"/>
      <c r="E18" s="417"/>
      <c r="F18" s="417"/>
      <c r="G18" s="417"/>
      <c r="H18" s="289"/>
      <c r="I18" s="289">
        <f t="shared" si="0"/>
        <v>0</v>
      </c>
      <c r="J18" s="195">
        <f t="shared" si="1"/>
        <v>0</v>
      </c>
    </row>
    <row r="19" spans="2:10" ht="21.9" customHeight="1">
      <c r="B19" s="418"/>
      <c r="C19" s="417"/>
      <c r="D19" s="417"/>
      <c r="E19" s="417"/>
      <c r="F19" s="417"/>
      <c r="G19" s="417"/>
      <c r="H19" s="289"/>
      <c r="I19" s="289">
        <f t="shared" si="0"/>
        <v>0</v>
      </c>
      <c r="J19" s="195">
        <f t="shared" si="1"/>
        <v>0</v>
      </c>
    </row>
    <row r="20" spans="2:10" ht="21.9" customHeight="1">
      <c r="B20" s="418"/>
      <c r="C20" s="417"/>
      <c r="D20" s="417"/>
      <c r="E20" s="417"/>
      <c r="F20" s="417"/>
      <c r="G20" s="417"/>
      <c r="H20" s="289"/>
      <c r="I20" s="289">
        <f t="shared" si="0"/>
        <v>0</v>
      </c>
      <c r="J20" s="195">
        <f t="shared" si="1"/>
        <v>0</v>
      </c>
    </row>
    <row r="21" spans="2:10" ht="21.9" customHeight="1">
      <c r="B21" s="418"/>
      <c r="C21" s="417"/>
      <c r="D21" s="417"/>
      <c r="E21" s="417"/>
      <c r="F21" s="417"/>
      <c r="G21" s="417"/>
      <c r="H21" s="289"/>
      <c r="I21" s="289">
        <f t="shared" si="0"/>
        <v>0</v>
      </c>
      <c r="J21" s="195">
        <f t="shared" si="1"/>
        <v>0</v>
      </c>
    </row>
    <row r="22" spans="2:10" ht="21.9" customHeight="1">
      <c r="B22" s="418"/>
      <c r="C22" s="417"/>
      <c r="D22" s="417"/>
      <c r="E22" s="417"/>
      <c r="F22" s="417"/>
      <c r="G22" s="417"/>
      <c r="H22" s="289"/>
      <c r="I22" s="289">
        <f t="shared" si="0"/>
        <v>0</v>
      </c>
      <c r="J22" s="195">
        <f t="shared" si="1"/>
        <v>0</v>
      </c>
    </row>
    <row r="23" spans="2:10" ht="21.9" customHeight="1">
      <c r="B23" s="418"/>
      <c r="C23" s="417"/>
      <c r="D23" s="417"/>
      <c r="E23" s="417"/>
      <c r="F23" s="417"/>
      <c r="G23" s="417"/>
      <c r="H23" s="289"/>
      <c r="I23" s="289">
        <f t="shared" si="0"/>
        <v>0</v>
      </c>
      <c r="J23" s="195">
        <f t="shared" si="1"/>
        <v>0</v>
      </c>
    </row>
    <row r="24" spans="2:10" ht="21.9" customHeight="1">
      <c r="B24" s="418"/>
      <c r="C24" s="417"/>
      <c r="D24" s="417"/>
      <c r="E24" s="417"/>
      <c r="F24" s="417"/>
      <c r="G24" s="417"/>
      <c r="H24" s="289"/>
      <c r="I24" s="289">
        <f t="shared" si="0"/>
        <v>0</v>
      </c>
      <c r="J24" s="195">
        <f t="shared" si="1"/>
        <v>0</v>
      </c>
    </row>
    <row r="25" spans="2:10" ht="21.9" customHeight="1">
      <c r="B25" s="418"/>
      <c r="C25" s="417"/>
      <c r="D25" s="417"/>
      <c r="E25" s="417"/>
      <c r="F25" s="417"/>
      <c r="G25" s="417"/>
      <c r="H25" s="289"/>
      <c r="I25" s="289">
        <f t="shared" si="0"/>
        <v>0</v>
      </c>
      <c r="J25" s="195">
        <f t="shared" si="1"/>
        <v>0</v>
      </c>
    </row>
    <row r="26" spans="2:10" ht="21.9" customHeight="1">
      <c r="B26" s="418"/>
      <c r="C26" s="417"/>
      <c r="D26" s="417"/>
      <c r="E26" s="417"/>
      <c r="F26" s="417"/>
      <c r="G26" s="417"/>
      <c r="H26" s="289"/>
      <c r="I26" s="289">
        <f t="shared" si="0"/>
        <v>0</v>
      </c>
      <c r="J26" s="195">
        <f t="shared" si="1"/>
        <v>0</v>
      </c>
    </row>
    <row r="27" spans="2:10" ht="21.9" customHeight="1">
      <c r="B27" s="418"/>
      <c r="C27" s="417"/>
      <c r="D27" s="417"/>
      <c r="E27" s="417"/>
      <c r="F27" s="417"/>
      <c r="G27" s="417"/>
      <c r="H27" s="289"/>
      <c r="I27" s="289">
        <f t="shared" si="0"/>
        <v>0</v>
      </c>
      <c r="J27" s="195">
        <f t="shared" si="1"/>
        <v>0</v>
      </c>
    </row>
    <row r="28" spans="2:10" ht="21.9" customHeight="1">
      <c r="B28" s="418"/>
      <c r="C28" s="417"/>
      <c r="D28" s="417"/>
      <c r="E28" s="417"/>
      <c r="F28" s="417"/>
      <c r="G28" s="417"/>
      <c r="H28" s="289"/>
      <c r="I28" s="289">
        <f t="shared" si="0"/>
        <v>0</v>
      </c>
      <c r="J28" s="195">
        <f t="shared" si="1"/>
        <v>0</v>
      </c>
    </row>
    <row r="29" spans="2:10" ht="21.9" customHeight="1">
      <c r="B29" s="418"/>
      <c r="C29" s="417"/>
      <c r="D29" s="417"/>
      <c r="E29" s="417"/>
      <c r="F29" s="417"/>
      <c r="G29" s="417"/>
      <c r="H29" s="289"/>
      <c r="I29" s="289">
        <f t="shared" si="0"/>
        <v>0</v>
      </c>
      <c r="J29" s="195">
        <f t="shared" si="1"/>
        <v>0</v>
      </c>
    </row>
    <row r="30" spans="2:10" ht="21.9" customHeight="1">
      <c r="B30" s="418"/>
      <c r="C30" s="417"/>
      <c r="D30" s="417"/>
      <c r="E30" s="417"/>
      <c r="F30" s="417"/>
      <c r="G30" s="417"/>
      <c r="H30" s="289"/>
      <c r="I30" s="289">
        <f t="shared" si="0"/>
        <v>0</v>
      </c>
      <c r="J30" s="195">
        <f t="shared" si="1"/>
        <v>0</v>
      </c>
    </row>
    <row r="31" spans="2:10" ht="21.9" customHeight="1">
      <c r="B31" s="418"/>
      <c r="C31" s="417"/>
      <c r="D31" s="417"/>
      <c r="E31" s="417"/>
      <c r="F31" s="417"/>
      <c r="G31" s="417"/>
      <c r="H31" s="289"/>
      <c r="I31" s="289">
        <f t="shared" si="0"/>
        <v>0</v>
      </c>
      <c r="J31" s="195">
        <f t="shared" si="1"/>
        <v>0</v>
      </c>
    </row>
    <row r="32" spans="2:10" ht="21.9" customHeight="1">
      <c r="B32" s="418"/>
      <c r="C32" s="417"/>
      <c r="D32" s="417"/>
      <c r="E32" s="417"/>
      <c r="F32" s="417"/>
      <c r="G32" s="417"/>
      <c r="H32" s="289"/>
      <c r="I32" s="289">
        <f t="shared" si="0"/>
        <v>0</v>
      </c>
      <c r="J32" s="195">
        <f t="shared" si="1"/>
        <v>0</v>
      </c>
    </row>
    <row r="33" spans="2:11" ht="21.9" customHeight="1">
      <c r="B33" s="418"/>
      <c r="C33" s="417"/>
      <c r="D33" s="417"/>
      <c r="E33" s="417"/>
      <c r="F33" s="417"/>
      <c r="G33" s="417"/>
      <c r="H33" s="289"/>
      <c r="I33" s="289">
        <f t="shared" si="0"/>
        <v>0</v>
      </c>
      <c r="J33" s="195">
        <f t="shared" si="1"/>
        <v>0</v>
      </c>
    </row>
    <row r="34" spans="2:11" ht="21.9" customHeight="1">
      <c r="B34" s="418"/>
      <c r="C34" s="417"/>
      <c r="D34" s="417"/>
      <c r="E34" s="417"/>
      <c r="F34" s="417"/>
      <c r="G34" s="417"/>
      <c r="H34" s="289"/>
      <c r="I34" s="289">
        <f t="shared" si="0"/>
        <v>0</v>
      </c>
      <c r="J34" s="195">
        <f t="shared" si="1"/>
        <v>0</v>
      </c>
    </row>
    <row r="35" spans="2:11" ht="21.9" customHeight="1">
      <c r="B35" s="418"/>
      <c r="C35" s="417"/>
      <c r="D35" s="417"/>
      <c r="E35" s="417"/>
      <c r="F35" s="417"/>
      <c r="G35" s="417"/>
      <c r="H35" s="289"/>
      <c r="I35" s="289">
        <f t="shared" si="0"/>
        <v>0</v>
      </c>
      <c r="J35" s="195">
        <f t="shared" si="1"/>
        <v>0</v>
      </c>
    </row>
    <row r="36" spans="2:11" ht="21.9" customHeight="1">
      <c r="B36" s="418"/>
      <c r="C36" s="417"/>
      <c r="D36" s="417"/>
      <c r="E36" s="417"/>
      <c r="F36" s="417"/>
      <c r="G36" s="417"/>
      <c r="H36" s="289"/>
      <c r="I36" s="289">
        <f t="shared" si="0"/>
        <v>0</v>
      </c>
      <c r="J36" s="195">
        <f t="shared" si="1"/>
        <v>0</v>
      </c>
    </row>
    <row r="37" spans="2:11" ht="21.9" customHeight="1">
      <c r="B37" s="418"/>
      <c r="C37" s="417"/>
      <c r="D37" s="417"/>
      <c r="E37" s="417"/>
      <c r="F37" s="417"/>
      <c r="G37" s="417"/>
      <c r="H37" s="289"/>
      <c r="I37" s="289">
        <f t="shared" si="0"/>
        <v>0</v>
      </c>
      <c r="J37" s="195">
        <f t="shared" si="1"/>
        <v>0</v>
      </c>
    </row>
    <row r="38" spans="2:11" ht="21.9" customHeight="1">
      <c r="B38" s="418"/>
      <c r="C38" s="417"/>
      <c r="D38" s="417"/>
      <c r="E38" s="417"/>
      <c r="F38" s="417"/>
      <c r="G38" s="417"/>
      <c r="H38" s="289"/>
      <c r="I38" s="289">
        <f t="shared" si="0"/>
        <v>0</v>
      </c>
      <c r="J38" s="195">
        <f t="shared" si="1"/>
        <v>0</v>
      </c>
    </row>
    <row r="39" spans="2:11" ht="21.9" customHeight="1">
      <c r="B39" s="418"/>
      <c r="C39" s="417"/>
      <c r="D39" s="417"/>
      <c r="E39" s="417"/>
      <c r="F39" s="417"/>
      <c r="G39" s="417"/>
      <c r="H39" s="289"/>
      <c r="I39" s="289">
        <f t="shared" si="0"/>
        <v>0</v>
      </c>
      <c r="J39" s="195">
        <f t="shared" si="1"/>
        <v>0</v>
      </c>
    </row>
    <row r="40" spans="2:11" ht="21.9" customHeight="1">
      <c r="B40" s="418"/>
      <c r="C40" s="417"/>
      <c r="D40" s="417"/>
      <c r="E40" s="417"/>
      <c r="F40" s="417"/>
      <c r="G40" s="417"/>
      <c r="H40" s="289"/>
      <c r="I40" s="289">
        <f t="shared" si="0"/>
        <v>0</v>
      </c>
      <c r="J40" s="195">
        <f t="shared" si="1"/>
        <v>0</v>
      </c>
    </row>
    <row r="41" spans="2:11" ht="21.9" customHeight="1">
      <c r="B41" s="418"/>
      <c r="C41" s="417"/>
      <c r="D41" s="417"/>
      <c r="E41" s="417"/>
      <c r="F41" s="417"/>
      <c r="G41" s="417"/>
      <c r="H41" s="289"/>
      <c r="I41" s="289">
        <f t="shared" si="0"/>
        <v>0</v>
      </c>
      <c r="J41" s="195">
        <f t="shared" si="1"/>
        <v>0</v>
      </c>
    </row>
    <row r="42" spans="2:11" ht="21.9" customHeight="1">
      <c r="B42" s="418"/>
      <c r="C42" s="417"/>
      <c r="D42" s="417"/>
      <c r="E42" s="417"/>
      <c r="F42" s="417"/>
      <c r="G42" s="417"/>
      <c r="H42" s="289"/>
      <c r="I42" s="289">
        <f t="shared" si="0"/>
        <v>0</v>
      </c>
      <c r="J42" s="195">
        <f t="shared" si="1"/>
        <v>0</v>
      </c>
    </row>
    <row r="43" spans="2:11" ht="21.9" customHeight="1" thickBot="1">
      <c r="B43" s="27"/>
      <c r="C43" s="264" t="s">
        <v>3262</v>
      </c>
      <c r="D43" s="27"/>
      <c r="E43" s="27"/>
      <c r="F43" s="27"/>
      <c r="G43" s="27"/>
      <c r="H43" s="101">
        <f>SUM(H10:H42)</f>
        <v>0</v>
      </c>
      <c r="I43" s="101">
        <f>SUM(I10:I42)</f>
        <v>0</v>
      </c>
      <c r="J43" s="215">
        <f>SUM(J10:J42)</f>
        <v>0</v>
      </c>
      <c r="K43" s="204"/>
    </row>
    <row r="44" spans="2:11" ht="13.8" thickTop="1">
      <c r="B44" t="s">
        <v>278</v>
      </c>
    </row>
    <row r="45" spans="2:11">
      <c r="B45" t="s">
        <v>279</v>
      </c>
    </row>
    <row r="46" spans="2:11">
      <c r="B46" t="s">
        <v>280</v>
      </c>
      <c r="H46" s="204"/>
    </row>
    <row r="48" spans="2:11">
      <c r="B48" t="s">
        <v>281</v>
      </c>
      <c r="E48" s="1164"/>
      <c r="F48" s="1164"/>
      <c r="G48" s="1164"/>
      <c r="H48" s="1164"/>
    </row>
    <row r="49" spans="2:10" ht="13.8">
      <c r="B49" s="1130" t="s">
        <v>3331</v>
      </c>
      <c r="C49" s="1130"/>
      <c r="D49" s="1130"/>
      <c r="E49" s="1130"/>
      <c r="F49" s="1130"/>
      <c r="G49" s="1130"/>
      <c r="H49" s="1130"/>
      <c r="I49" s="1130"/>
      <c r="J49" s="1130"/>
    </row>
    <row r="52" spans="2:10">
      <c r="I52" s="204"/>
    </row>
  </sheetData>
  <sheetProtection algorithmName="SHA-512" hashValue="WWvYJYXyzWmMTaWZ0JTkpOp+kiOjcNEioHuGicx20YeKCkSKr19lzRBihyBR+ivqKJ8H1DBLzwJis9iFWgjiSw==" saltValue="R8y0N7mEJbNY60qhif7UVA=="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9F1B7-4599-403D-AC9C-D1D60B736800}">
  <sheetPr codeName="Sheet113"/>
  <dimension ref="B4:L52"/>
  <sheetViews>
    <sheetView zoomScaleNormal="100" zoomScaleSheetLayoutView="90" workbookViewId="0">
      <selection activeCell="B8" sqref="B8"/>
    </sheetView>
  </sheetViews>
  <sheetFormatPr defaultColWidth="9.109375" defaultRowHeight="13.2"/>
  <cols>
    <col min="1" max="3" width="4.6640625" customWidth="1"/>
    <col min="7" max="7" width="9.109375" customWidth="1"/>
    <col min="8" max="9" width="16.6640625" customWidth="1"/>
    <col min="10" max="10" width="19.5546875" customWidth="1"/>
  </cols>
  <sheetData>
    <row r="4" spans="2:12" ht="22.8">
      <c r="B4" s="1176" t="str">
        <f>'17-Budget Revenues'!B2:J2</f>
        <v>STATEMENT OF GENERAL BUDGET REVENUES 2024</v>
      </c>
      <c r="C4" s="1176"/>
      <c r="D4" s="1176"/>
      <c r="E4" s="1176"/>
      <c r="F4" s="1176"/>
      <c r="G4" s="1176"/>
      <c r="H4" s="1176"/>
      <c r="I4" s="1176"/>
      <c r="J4" s="1176"/>
    </row>
    <row r="5" spans="2:12" ht="13.8">
      <c r="B5" s="1130" t="s">
        <v>263</v>
      </c>
      <c r="C5" s="1130"/>
      <c r="D5" s="1130"/>
      <c r="E5" s="1130"/>
      <c r="F5" s="1130"/>
      <c r="G5" s="1130"/>
      <c r="H5" s="1130"/>
      <c r="I5" s="1130"/>
      <c r="J5" s="1130"/>
    </row>
    <row r="7" spans="2:12" ht="15.6">
      <c r="B7" s="1168" t="s">
        <v>3557</v>
      </c>
      <c r="C7" s="1168"/>
      <c r="D7" s="1168"/>
      <c r="E7" s="1168"/>
      <c r="F7" s="1168"/>
      <c r="G7" s="1168"/>
      <c r="H7" s="1168"/>
      <c r="I7" s="1168"/>
      <c r="J7" s="1168"/>
    </row>
    <row r="8" spans="2:12" ht="8.25" customHeight="1" thickBot="1">
      <c r="B8" s="10"/>
      <c r="C8" s="10"/>
      <c r="D8" s="10"/>
      <c r="E8" s="10"/>
      <c r="F8" s="10"/>
      <c r="G8" s="10"/>
      <c r="H8" s="10"/>
      <c r="I8" s="10"/>
      <c r="J8" s="10"/>
    </row>
    <row r="9" spans="2:12" ht="32.1" customHeight="1" thickTop="1" thickBot="1">
      <c r="B9" s="1179" t="s">
        <v>165</v>
      </c>
      <c r="C9" s="1179"/>
      <c r="D9" s="1179"/>
      <c r="E9" s="1179"/>
      <c r="F9" s="1179"/>
      <c r="G9" s="1179"/>
      <c r="H9" s="4" t="s">
        <v>534</v>
      </c>
      <c r="I9" s="4" t="s">
        <v>636</v>
      </c>
      <c r="J9" s="3" t="s">
        <v>264</v>
      </c>
    </row>
    <row r="10" spans="2:12" ht="21.9" customHeight="1" thickTop="1">
      <c r="B10" s="603" t="s">
        <v>3263</v>
      </c>
      <c r="C10" s="22"/>
      <c r="D10" s="22"/>
      <c r="E10" s="22"/>
      <c r="F10" s="22"/>
      <c r="G10" s="22"/>
      <c r="H10" s="59">
        <f>+'17a.2-Budget Revenues'!H43</f>
        <v>0</v>
      </c>
      <c r="I10" s="59">
        <f>+'17a.2-Budget Revenues'!I43</f>
        <v>0</v>
      </c>
      <c r="J10" s="60">
        <f>+'17a.2-Budget Revenues'!J43</f>
        <v>0</v>
      </c>
    </row>
    <row r="11" spans="2:12" ht="21.9" customHeight="1">
      <c r="B11" s="418"/>
      <c r="C11" s="417"/>
      <c r="D11" s="417"/>
      <c r="E11" s="417"/>
      <c r="F11" s="417"/>
      <c r="G11" s="417"/>
      <c r="H11" s="289"/>
      <c r="I11" s="289">
        <f t="shared" ref="I11:I42" si="0">+H11</f>
        <v>0</v>
      </c>
      <c r="J11" s="195">
        <f t="shared" ref="J11:J42" si="1">H11-I11</f>
        <v>0</v>
      </c>
      <c r="L11" s="942" t="s">
        <v>3478</v>
      </c>
    </row>
    <row r="12" spans="2:12" ht="21.9" customHeight="1">
      <c r="B12" s="418"/>
      <c r="C12" s="417"/>
      <c r="D12" s="417"/>
      <c r="E12" s="417"/>
      <c r="F12" s="417"/>
      <c r="G12" s="417"/>
      <c r="H12" s="289"/>
      <c r="I12" s="289">
        <f t="shared" si="0"/>
        <v>0</v>
      </c>
      <c r="J12" s="195">
        <f t="shared" si="1"/>
        <v>0</v>
      </c>
    </row>
    <row r="13" spans="2:12" ht="21.9" customHeight="1">
      <c r="B13" s="418"/>
      <c r="C13" s="417"/>
      <c r="D13" s="417"/>
      <c r="E13" s="417"/>
      <c r="F13" s="417"/>
      <c r="G13" s="417"/>
      <c r="H13" s="289"/>
      <c r="I13" s="289">
        <f t="shared" si="0"/>
        <v>0</v>
      </c>
      <c r="J13" s="195">
        <f t="shared" si="1"/>
        <v>0</v>
      </c>
    </row>
    <row r="14" spans="2:12" ht="21.9" customHeight="1">
      <c r="B14" s="418"/>
      <c r="C14" s="417"/>
      <c r="D14" s="417"/>
      <c r="E14" s="417"/>
      <c r="F14" s="417"/>
      <c r="G14" s="417"/>
      <c r="H14" s="289"/>
      <c r="I14" s="289">
        <f t="shared" si="0"/>
        <v>0</v>
      </c>
      <c r="J14" s="195">
        <f t="shared" si="1"/>
        <v>0</v>
      </c>
    </row>
    <row r="15" spans="2:12" ht="21.9" customHeight="1">
      <c r="B15" s="418"/>
      <c r="C15" s="417"/>
      <c r="D15" s="417"/>
      <c r="E15" s="417"/>
      <c r="F15" s="417"/>
      <c r="G15" s="417"/>
      <c r="H15" s="289"/>
      <c r="I15" s="289">
        <f t="shared" si="0"/>
        <v>0</v>
      </c>
      <c r="J15" s="195">
        <f t="shared" si="1"/>
        <v>0</v>
      </c>
    </row>
    <row r="16" spans="2:12" ht="21.9" customHeight="1">
      <c r="B16" s="418"/>
      <c r="C16" s="417"/>
      <c r="D16" s="417"/>
      <c r="E16" s="417"/>
      <c r="F16" s="417"/>
      <c r="G16" s="417"/>
      <c r="H16" s="289"/>
      <c r="I16" s="289">
        <f t="shared" si="0"/>
        <v>0</v>
      </c>
      <c r="J16" s="195">
        <f t="shared" si="1"/>
        <v>0</v>
      </c>
    </row>
    <row r="17" spans="2:10" ht="21.9" customHeight="1">
      <c r="B17" s="418"/>
      <c r="C17" s="417"/>
      <c r="D17" s="417"/>
      <c r="E17" s="417"/>
      <c r="F17" s="417"/>
      <c r="G17" s="417"/>
      <c r="H17" s="289"/>
      <c r="I17" s="289">
        <f t="shared" si="0"/>
        <v>0</v>
      </c>
      <c r="J17" s="195">
        <f t="shared" si="1"/>
        <v>0</v>
      </c>
    </row>
    <row r="18" spans="2:10" ht="21.9" customHeight="1">
      <c r="B18" s="418"/>
      <c r="C18" s="417"/>
      <c r="D18" s="417"/>
      <c r="E18" s="417"/>
      <c r="F18" s="417"/>
      <c r="G18" s="417"/>
      <c r="H18" s="289"/>
      <c r="I18" s="289">
        <f t="shared" si="0"/>
        <v>0</v>
      </c>
      <c r="J18" s="195">
        <f t="shared" si="1"/>
        <v>0</v>
      </c>
    </row>
    <row r="19" spans="2:10" ht="21.9" customHeight="1">
      <c r="B19" s="418"/>
      <c r="C19" s="417"/>
      <c r="D19" s="417"/>
      <c r="E19" s="417"/>
      <c r="F19" s="417"/>
      <c r="G19" s="417"/>
      <c r="H19" s="289"/>
      <c r="I19" s="289">
        <f t="shared" si="0"/>
        <v>0</v>
      </c>
      <c r="J19" s="195">
        <f t="shared" si="1"/>
        <v>0</v>
      </c>
    </row>
    <row r="20" spans="2:10" ht="21.9" customHeight="1">
      <c r="B20" s="418"/>
      <c r="C20" s="417"/>
      <c r="D20" s="417"/>
      <c r="E20" s="417"/>
      <c r="F20" s="417"/>
      <c r="G20" s="417"/>
      <c r="H20" s="289"/>
      <c r="I20" s="289">
        <f t="shared" si="0"/>
        <v>0</v>
      </c>
      <c r="J20" s="195">
        <f t="shared" si="1"/>
        <v>0</v>
      </c>
    </row>
    <row r="21" spans="2:10" ht="21.9" customHeight="1">
      <c r="B21" s="418"/>
      <c r="C21" s="417"/>
      <c r="D21" s="417"/>
      <c r="E21" s="417"/>
      <c r="F21" s="417"/>
      <c r="G21" s="417"/>
      <c r="H21" s="289"/>
      <c r="I21" s="289">
        <f t="shared" si="0"/>
        <v>0</v>
      </c>
      <c r="J21" s="195">
        <f t="shared" si="1"/>
        <v>0</v>
      </c>
    </row>
    <row r="22" spans="2:10" ht="21.9" customHeight="1">
      <c r="B22" s="418"/>
      <c r="C22" s="417"/>
      <c r="D22" s="417"/>
      <c r="E22" s="417"/>
      <c r="F22" s="417"/>
      <c r="G22" s="417"/>
      <c r="H22" s="289"/>
      <c r="I22" s="289">
        <f t="shared" si="0"/>
        <v>0</v>
      </c>
      <c r="J22" s="195">
        <f t="shared" si="1"/>
        <v>0</v>
      </c>
    </row>
    <row r="23" spans="2:10" ht="21.9" customHeight="1">
      <c r="B23" s="418"/>
      <c r="C23" s="417"/>
      <c r="D23" s="417"/>
      <c r="E23" s="417"/>
      <c r="F23" s="417"/>
      <c r="G23" s="417"/>
      <c r="H23" s="289"/>
      <c r="I23" s="289">
        <f t="shared" si="0"/>
        <v>0</v>
      </c>
      <c r="J23" s="195">
        <f t="shared" si="1"/>
        <v>0</v>
      </c>
    </row>
    <row r="24" spans="2:10" ht="21.9" customHeight="1">
      <c r="B24" s="418"/>
      <c r="C24" s="417"/>
      <c r="D24" s="417"/>
      <c r="E24" s="417"/>
      <c r="F24" s="417"/>
      <c r="G24" s="417"/>
      <c r="H24" s="289"/>
      <c r="I24" s="289">
        <f t="shared" si="0"/>
        <v>0</v>
      </c>
      <c r="J24" s="195">
        <f t="shared" si="1"/>
        <v>0</v>
      </c>
    </row>
    <row r="25" spans="2:10" ht="21.9" customHeight="1">
      <c r="B25" s="418"/>
      <c r="C25" s="417"/>
      <c r="D25" s="417"/>
      <c r="E25" s="417"/>
      <c r="F25" s="417"/>
      <c r="G25" s="417"/>
      <c r="H25" s="289"/>
      <c r="I25" s="289">
        <f t="shared" si="0"/>
        <v>0</v>
      </c>
      <c r="J25" s="195">
        <f t="shared" si="1"/>
        <v>0</v>
      </c>
    </row>
    <row r="26" spans="2:10" ht="21.9" customHeight="1">
      <c r="B26" s="418"/>
      <c r="C26" s="417"/>
      <c r="D26" s="417"/>
      <c r="E26" s="417"/>
      <c r="F26" s="417"/>
      <c r="G26" s="417"/>
      <c r="H26" s="289"/>
      <c r="I26" s="289">
        <f t="shared" si="0"/>
        <v>0</v>
      </c>
      <c r="J26" s="195">
        <f t="shared" si="1"/>
        <v>0</v>
      </c>
    </row>
    <row r="27" spans="2:10" ht="21.9" customHeight="1">
      <c r="B27" s="418"/>
      <c r="C27" s="417"/>
      <c r="D27" s="417"/>
      <c r="E27" s="417"/>
      <c r="F27" s="417"/>
      <c r="G27" s="417"/>
      <c r="H27" s="289"/>
      <c r="I27" s="289">
        <f t="shared" si="0"/>
        <v>0</v>
      </c>
      <c r="J27" s="195">
        <f t="shared" si="1"/>
        <v>0</v>
      </c>
    </row>
    <row r="28" spans="2:10" ht="21.9" customHeight="1">
      <c r="B28" s="418"/>
      <c r="C28" s="417"/>
      <c r="D28" s="417"/>
      <c r="E28" s="417"/>
      <c r="F28" s="417"/>
      <c r="G28" s="417"/>
      <c r="H28" s="289"/>
      <c r="I28" s="289">
        <f t="shared" si="0"/>
        <v>0</v>
      </c>
      <c r="J28" s="195">
        <f t="shared" si="1"/>
        <v>0</v>
      </c>
    </row>
    <row r="29" spans="2:10" ht="21.9" customHeight="1">
      <c r="B29" s="418"/>
      <c r="C29" s="417"/>
      <c r="D29" s="417"/>
      <c r="E29" s="417"/>
      <c r="F29" s="417"/>
      <c r="G29" s="417"/>
      <c r="H29" s="289"/>
      <c r="I29" s="289">
        <f t="shared" si="0"/>
        <v>0</v>
      </c>
      <c r="J29" s="195">
        <f t="shared" si="1"/>
        <v>0</v>
      </c>
    </row>
    <row r="30" spans="2:10" ht="21.9" customHeight="1">
      <c r="B30" s="418"/>
      <c r="C30" s="417"/>
      <c r="D30" s="417"/>
      <c r="E30" s="417"/>
      <c r="F30" s="417"/>
      <c r="G30" s="417"/>
      <c r="H30" s="289"/>
      <c r="I30" s="289">
        <f t="shared" si="0"/>
        <v>0</v>
      </c>
      <c r="J30" s="195">
        <f t="shared" si="1"/>
        <v>0</v>
      </c>
    </row>
    <row r="31" spans="2:10" ht="21.9" customHeight="1">
      <c r="B31" s="418"/>
      <c r="C31" s="417"/>
      <c r="D31" s="417"/>
      <c r="E31" s="417"/>
      <c r="F31" s="417"/>
      <c r="G31" s="417"/>
      <c r="H31" s="289"/>
      <c r="I31" s="289">
        <f t="shared" si="0"/>
        <v>0</v>
      </c>
      <c r="J31" s="195">
        <f t="shared" si="1"/>
        <v>0</v>
      </c>
    </row>
    <row r="32" spans="2:10" ht="21.9" customHeight="1">
      <c r="B32" s="418"/>
      <c r="C32" s="417"/>
      <c r="D32" s="417"/>
      <c r="E32" s="417"/>
      <c r="F32" s="417"/>
      <c r="G32" s="417"/>
      <c r="H32" s="289"/>
      <c r="I32" s="289">
        <f t="shared" si="0"/>
        <v>0</v>
      </c>
      <c r="J32" s="195">
        <f t="shared" si="1"/>
        <v>0</v>
      </c>
    </row>
    <row r="33" spans="2:11" ht="21.9" customHeight="1">
      <c r="B33" s="418"/>
      <c r="C33" s="417"/>
      <c r="D33" s="417"/>
      <c r="E33" s="417"/>
      <c r="F33" s="417"/>
      <c r="G33" s="417"/>
      <c r="H33" s="289"/>
      <c r="I33" s="289">
        <f t="shared" si="0"/>
        <v>0</v>
      </c>
      <c r="J33" s="195">
        <f t="shared" si="1"/>
        <v>0</v>
      </c>
    </row>
    <row r="34" spans="2:11" ht="21.9" customHeight="1">
      <c r="B34" s="418"/>
      <c r="C34" s="417"/>
      <c r="D34" s="417"/>
      <c r="E34" s="417"/>
      <c r="F34" s="417"/>
      <c r="G34" s="417"/>
      <c r="H34" s="289"/>
      <c r="I34" s="289">
        <f t="shared" si="0"/>
        <v>0</v>
      </c>
      <c r="J34" s="195">
        <f t="shared" si="1"/>
        <v>0</v>
      </c>
    </row>
    <row r="35" spans="2:11" ht="21.9" customHeight="1">
      <c r="B35" s="418"/>
      <c r="C35" s="417"/>
      <c r="D35" s="417"/>
      <c r="E35" s="417"/>
      <c r="F35" s="417"/>
      <c r="G35" s="417"/>
      <c r="H35" s="289"/>
      <c r="I35" s="289">
        <f t="shared" si="0"/>
        <v>0</v>
      </c>
      <c r="J35" s="195">
        <f t="shared" si="1"/>
        <v>0</v>
      </c>
    </row>
    <row r="36" spans="2:11" ht="21.9" customHeight="1">
      <c r="B36" s="418"/>
      <c r="C36" s="417"/>
      <c r="D36" s="417"/>
      <c r="E36" s="417"/>
      <c r="F36" s="417"/>
      <c r="G36" s="417"/>
      <c r="H36" s="289"/>
      <c r="I36" s="289">
        <f t="shared" si="0"/>
        <v>0</v>
      </c>
      <c r="J36" s="195">
        <f t="shared" si="1"/>
        <v>0</v>
      </c>
    </row>
    <row r="37" spans="2:11" ht="21.9" customHeight="1">
      <c r="B37" s="418"/>
      <c r="C37" s="417"/>
      <c r="D37" s="417"/>
      <c r="E37" s="417"/>
      <c r="F37" s="417"/>
      <c r="G37" s="417"/>
      <c r="H37" s="289"/>
      <c r="I37" s="289">
        <f t="shared" si="0"/>
        <v>0</v>
      </c>
      <c r="J37" s="195">
        <f t="shared" si="1"/>
        <v>0</v>
      </c>
    </row>
    <row r="38" spans="2:11" ht="21.9" customHeight="1">
      <c r="B38" s="418"/>
      <c r="C38" s="417"/>
      <c r="D38" s="417"/>
      <c r="E38" s="417"/>
      <c r="F38" s="417"/>
      <c r="G38" s="417"/>
      <c r="H38" s="289"/>
      <c r="I38" s="289">
        <f t="shared" si="0"/>
        <v>0</v>
      </c>
      <c r="J38" s="195">
        <f t="shared" si="1"/>
        <v>0</v>
      </c>
    </row>
    <row r="39" spans="2:11" ht="21.9" customHeight="1">
      <c r="B39" s="418"/>
      <c r="C39" s="417"/>
      <c r="D39" s="417"/>
      <c r="E39" s="417"/>
      <c r="F39" s="417"/>
      <c r="G39" s="417"/>
      <c r="H39" s="289"/>
      <c r="I39" s="289">
        <f t="shared" si="0"/>
        <v>0</v>
      </c>
      <c r="J39" s="195">
        <f t="shared" si="1"/>
        <v>0</v>
      </c>
    </row>
    <row r="40" spans="2:11" ht="21.9" customHeight="1">
      <c r="B40" s="418"/>
      <c r="C40" s="417"/>
      <c r="D40" s="417"/>
      <c r="E40" s="417"/>
      <c r="F40" s="417"/>
      <c r="G40" s="417"/>
      <c r="H40" s="289"/>
      <c r="I40" s="289">
        <f t="shared" si="0"/>
        <v>0</v>
      </c>
      <c r="J40" s="195">
        <f t="shared" si="1"/>
        <v>0</v>
      </c>
    </row>
    <row r="41" spans="2:11" ht="21.9" customHeight="1">
      <c r="B41" s="418"/>
      <c r="C41" s="417"/>
      <c r="D41" s="417"/>
      <c r="E41" s="417"/>
      <c r="F41" s="417"/>
      <c r="G41" s="417"/>
      <c r="H41" s="289"/>
      <c r="I41" s="289">
        <f t="shared" si="0"/>
        <v>0</v>
      </c>
      <c r="J41" s="195">
        <f t="shared" si="1"/>
        <v>0</v>
      </c>
    </row>
    <row r="42" spans="2:11" ht="21.9" customHeight="1">
      <c r="B42" s="418"/>
      <c r="C42" s="417"/>
      <c r="D42" s="417"/>
      <c r="E42" s="417"/>
      <c r="F42" s="417"/>
      <c r="G42" s="417"/>
      <c r="H42" s="289"/>
      <c r="I42" s="289">
        <f t="shared" si="0"/>
        <v>0</v>
      </c>
      <c r="J42" s="195">
        <f t="shared" si="1"/>
        <v>0</v>
      </c>
    </row>
    <row r="43" spans="2:11" ht="21.9" customHeight="1" thickBot="1">
      <c r="B43" s="27"/>
      <c r="C43" s="264" t="s">
        <v>3262</v>
      </c>
      <c r="D43" s="27"/>
      <c r="E43" s="27"/>
      <c r="F43" s="27"/>
      <c r="G43" s="27"/>
      <c r="H43" s="101">
        <f>SUM(H10:H42)</f>
        <v>0</v>
      </c>
      <c r="I43" s="101">
        <f>SUM(I10:I42)</f>
        <v>0</v>
      </c>
      <c r="J43" s="215">
        <f>SUM(J10:J42)</f>
        <v>0</v>
      </c>
      <c r="K43" s="204"/>
    </row>
    <row r="44" spans="2:11" ht="13.8" thickTop="1">
      <c r="B44" t="s">
        <v>278</v>
      </c>
    </row>
    <row r="45" spans="2:11">
      <c r="B45" t="s">
        <v>279</v>
      </c>
    </row>
    <row r="46" spans="2:11">
      <c r="B46" t="s">
        <v>280</v>
      </c>
      <c r="H46" s="204"/>
    </row>
    <row r="48" spans="2:11">
      <c r="B48" t="s">
        <v>281</v>
      </c>
      <c r="E48" s="1164"/>
      <c r="F48" s="1164"/>
      <c r="G48" s="1164"/>
      <c r="H48" s="1164"/>
    </row>
    <row r="49" spans="2:10" ht="13.8">
      <c r="B49" s="1130" t="s">
        <v>3333</v>
      </c>
      <c r="C49" s="1130"/>
      <c r="D49" s="1130"/>
      <c r="E49" s="1130"/>
      <c r="F49" s="1130"/>
      <c r="G49" s="1130"/>
      <c r="H49" s="1130"/>
      <c r="I49" s="1130"/>
      <c r="J49" s="1130"/>
    </row>
    <row r="52" spans="2:10">
      <c r="I52" s="204"/>
    </row>
  </sheetData>
  <sheetProtection algorithmName="SHA-512" hashValue="hKjPqFsIZR7VF+tFOhMk+qgB1ZSBx1wbras4TRCdksEs7AqXN2Bu0EmPtG0MxBZbPsbr+l2bULTX9Lxg+D9JCg==" saltValue="xEl4xPh1R2D4KozP7vKWpg=="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BA7A5-B1BA-45A9-98DE-9D12E4BBF743}">
  <sheetPr codeName="Sheet114"/>
  <dimension ref="B4:L52"/>
  <sheetViews>
    <sheetView topLeftCell="A25" zoomScaleNormal="100" zoomScaleSheetLayoutView="90" workbookViewId="0">
      <selection activeCell="B49" sqref="B49:J49"/>
    </sheetView>
  </sheetViews>
  <sheetFormatPr defaultColWidth="9.109375" defaultRowHeight="13.2"/>
  <cols>
    <col min="1" max="3" width="4.6640625" customWidth="1"/>
    <col min="7" max="7" width="9.109375" customWidth="1"/>
    <col min="8" max="9" width="16.6640625" customWidth="1"/>
    <col min="10" max="10" width="19.5546875" customWidth="1"/>
  </cols>
  <sheetData>
    <row r="4" spans="2:12" ht="22.8">
      <c r="B4" s="1176" t="str">
        <f>'17-Budget Revenues'!B2:J2</f>
        <v>STATEMENT OF GENERAL BUDGET REVENUES 2024</v>
      </c>
      <c r="C4" s="1176"/>
      <c r="D4" s="1176"/>
      <c r="E4" s="1176"/>
      <c r="F4" s="1176"/>
      <c r="G4" s="1176"/>
      <c r="H4" s="1176"/>
      <c r="I4" s="1176"/>
      <c r="J4" s="1176"/>
    </row>
    <row r="5" spans="2:12" ht="13.8">
      <c r="B5" s="1130" t="s">
        <v>263</v>
      </c>
      <c r="C5" s="1130"/>
      <c r="D5" s="1130"/>
      <c r="E5" s="1130"/>
      <c r="F5" s="1130"/>
      <c r="G5" s="1130"/>
      <c r="H5" s="1130"/>
      <c r="I5" s="1130"/>
      <c r="J5" s="1130"/>
    </row>
    <row r="7" spans="2:12" ht="15.6">
      <c r="B7" s="1168" t="s">
        <v>3557</v>
      </c>
      <c r="C7" s="1168"/>
      <c r="D7" s="1168"/>
      <c r="E7" s="1168"/>
      <c r="F7" s="1168"/>
      <c r="G7" s="1168"/>
      <c r="H7" s="1168"/>
      <c r="I7" s="1168"/>
      <c r="J7" s="1168"/>
    </row>
    <row r="8" spans="2:12" ht="8.25" customHeight="1" thickBot="1">
      <c r="B8" s="10"/>
      <c r="C8" s="10"/>
      <c r="D8" s="10"/>
      <c r="E8" s="10"/>
      <c r="F8" s="10"/>
      <c r="G8" s="10"/>
      <c r="H8" s="10"/>
      <c r="I8" s="10"/>
      <c r="J8" s="10"/>
    </row>
    <row r="9" spans="2:12" ht="32.1" customHeight="1" thickTop="1" thickBot="1">
      <c r="B9" s="1179" t="s">
        <v>165</v>
      </c>
      <c r="C9" s="1179"/>
      <c r="D9" s="1179"/>
      <c r="E9" s="1179"/>
      <c r="F9" s="1179"/>
      <c r="G9" s="1179"/>
      <c r="H9" s="4" t="s">
        <v>534</v>
      </c>
      <c r="I9" s="4" t="s">
        <v>636</v>
      </c>
      <c r="J9" s="3" t="s">
        <v>264</v>
      </c>
    </row>
    <row r="10" spans="2:12" ht="21.9" customHeight="1" thickTop="1">
      <c r="B10" s="603" t="s">
        <v>3263</v>
      </c>
      <c r="C10" s="22"/>
      <c r="D10" s="22"/>
      <c r="E10" s="22"/>
      <c r="F10" s="22"/>
      <c r="G10" s="22"/>
      <c r="H10" s="59">
        <f>+'17a.3-Budget Revenues'!H43</f>
        <v>0</v>
      </c>
      <c r="I10" s="59">
        <f>+'17a.3-Budget Revenues'!I43</f>
        <v>0</v>
      </c>
      <c r="J10" s="60">
        <f>+'17a.3-Budget Revenues'!J43</f>
        <v>0</v>
      </c>
    </row>
    <row r="11" spans="2:12" ht="21.9" customHeight="1">
      <c r="B11" s="418"/>
      <c r="C11" s="417"/>
      <c r="D11" s="417"/>
      <c r="E11" s="417"/>
      <c r="F11" s="417"/>
      <c r="G11" s="417"/>
      <c r="H11" s="289"/>
      <c r="I11" s="289">
        <f t="shared" ref="I11:I42" si="0">+H11</f>
        <v>0</v>
      </c>
      <c r="J11" s="195">
        <f t="shared" ref="J11:J42" si="1">H11-I11</f>
        <v>0</v>
      </c>
      <c r="L11" s="942" t="s">
        <v>3478</v>
      </c>
    </row>
    <row r="12" spans="2:12" ht="21.9" customHeight="1">
      <c r="B12" s="418"/>
      <c r="C12" s="417"/>
      <c r="D12" s="417"/>
      <c r="E12" s="417"/>
      <c r="F12" s="417"/>
      <c r="G12" s="417"/>
      <c r="H12" s="289"/>
      <c r="I12" s="289">
        <f t="shared" si="0"/>
        <v>0</v>
      </c>
      <c r="J12" s="195">
        <f t="shared" si="1"/>
        <v>0</v>
      </c>
    </row>
    <row r="13" spans="2:12" ht="21.9" customHeight="1">
      <c r="B13" s="418"/>
      <c r="C13" s="417"/>
      <c r="D13" s="417"/>
      <c r="E13" s="417"/>
      <c r="F13" s="417"/>
      <c r="G13" s="417"/>
      <c r="H13" s="289"/>
      <c r="I13" s="289">
        <f t="shared" si="0"/>
        <v>0</v>
      </c>
      <c r="J13" s="195">
        <f t="shared" si="1"/>
        <v>0</v>
      </c>
    </row>
    <row r="14" spans="2:12" ht="21.9" customHeight="1">
      <c r="B14" s="418"/>
      <c r="C14" s="417"/>
      <c r="D14" s="417"/>
      <c r="E14" s="417"/>
      <c r="F14" s="417"/>
      <c r="G14" s="417"/>
      <c r="H14" s="289"/>
      <c r="I14" s="289">
        <f t="shared" si="0"/>
        <v>0</v>
      </c>
      <c r="J14" s="195">
        <f t="shared" si="1"/>
        <v>0</v>
      </c>
    </row>
    <row r="15" spans="2:12" ht="21.9" customHeight="1">
      <c r="B15" s="418"/>
      <c r="C15" s="417"/>
      <c r="D15" s="417"/>
      <c r="E15" s="417"/>
      <c r="F15" s="417"/>
      <c r="G15" s="417"/>
      <c r="H15" s="289"/>
      <c r="I15" s="289">
        <f t="shared" si="0"/>
        <v>0</v>
      </c>
      <c r="J15" s="195">
        <f t="shared" si="1"/>
        <v>0</v>
      </c>
    </row>
    <row r="16" spans="2:12" ht="21.9" customHeight="1">
      <c r="B16" s="418"/>
      <c r="C16" s="417"/>
      <c r="D16" s="417"/>
      <c r="E16" s="417"/>
      <c r="F16" s="417"/>
      <c r="G16" s="417"/>
      <c r="H16" s="289"/>
      <c r="I16" s="289">
        <f t="shared" si="0"/>
        <v>0</v>
      </c>
      <c r="J16" s="195">
        <f t="shared" si="1"/>
        <v>0</v>
      </c>
    </row>
    <row r="17" spans="2:10" ht="21.9" customHeight="1">
      <c r="B17" s="418"/>
      <c r="C17" s="417"/>
      <c r="D17" s="417"/>
      <c r="E17" s="417"/>
      <c r="F17" s="417"/>
      <c r="G17" s="417"/>
      <c r="H17" s="289"/>
      <c r="I17" s="289">
        <f t="shared" si="0"/>
        <v>0</v>
      </c>
      <c r="J17" s="195">
        <f t="shared" si="1"/>
        <v>0</v>
      </c>
    </row>
    <row r="18" spans="2:10" ht="21.9" customHeight="1">
      <c r="B18" s="418"/>
      <c r="C18" s="417"/>
      <c r="D18" s="417"/>
      <c r="E18" s="417"/>
      <c r="F18" s="417"/>
      <c r="G18" s="417"/>
      <c r="H18" s="289"/>
      <c r="I18" s="289">
        <f t="shared" si="0"/>
        <v>0</v>
      </c>
      <c r="J18" s="195">
        <f t="shared" si="1"/>
        <v>0</v>
      </c>
    </row>
    <row r="19" spans="2:10" ht="21.9" customHeight="1">
      <c r="B19" s="418"/>
      <c r="C19" s="417"/>
      <c r="D19" s="417"/>
      <c r="E19" s="417"/>
      <c r="F19" s="417"/>
      <c r="G19" s="417"/>
      <c r="H19" s="289"/>
      <c r="I19" s="289">
        <f t="shared" si="0"/>
        <v>0</v>
      </c>
      <c r="J19" s="195">
        <f t="shared" si="1"/>
        <v>0</v>
      </c>
    </row>
    <row r="20" spans="2:10" ht="21.9" customHeight="1">
      <c r="B20" s="418"/>
      <c r="C20" s="417"/>
      <c r="D20" s="417"/>
      <c r="E20" s="417"/>
      <c r="F20" s="417"/>
      <c r="G20" s="417"/>
      <c r="H20" s="289"/>
      <c r="I20" s="289">
        <f t="shared" si="0"/>
        <v>0</v>
      </c>
      <c r="J20" s="195">
        <f t="shared" si="1"/>
        <v>0</v>
      </c>
    </row>
    <row r="21" spans="2:10" ht="21.9" customHeight="1">
      <c r="B21" s="418"/>
      <c r="C21" s="417"/>
      <c r="D21" s="417"/>
      <c r="E21" s="417"/>
      <c r="F21" s="417"/>
      <c r="G21" s="417"/>
      <c r="H21" s="289"/>
      <c r="I21" s="289">
        <f t="shared" si="0"/>
        <v>0</v>
      </c>
      <c r="J21" s="195">
        <f t="shared" si="1"/>
        <v>0</v>
      </c>
    </row>
    <row r="22" spans="2:10" ht="21.9" customHeight="1">
      <c r="B22" s="418"/>
      <c r="C22" s="417"/>
      <c r="D22" s="417"/>
      <c r="E22" s="417"/>
      <c r="F22" s="417"/>
      <c r="G22" s="417"/>
      <c r="H22" s="289"/>
      <c r="I22" s="289">
        <f t="shared" si="0"/>
        <v>0</v>
      </c>
      <c r="J22" s="195">
        <f t="shared" si="1"/>
        <v>0</v>
      </c>
    </row>
    <row r="23" spans="2:10" ht="21.9" customHeight="1">
      <c r="B23" s="418"/>
      <c r="C23" s="417"/>
      <c r="D23" s="417"/>
      <c r="E23" s="417"/>
      <c r="F23" s="417"/>
      <c r="G23" s="417"/>
      <c r="H23" s="289"/>
      <c r="I23" s="289">
        <f t="shared" si="0"/>
        <v>0</v>
      </c>
      <c r="J23" s="195">
        <f t="shared" si="1"/>
        <v>0</v>
      </c>
    </row>
    <row r="24" spans="2:10" ht="21.9" customHeight="1">
      <c r="B24" s="418"/>
      <c r="C24" s="417"/>
      <c r="D24" s="417"/>
      <c r="E24" s="417"/>
      <c r="F24" s="417"/>
      <c r="G24" s="417"/>
      <c r="H24" s="289"/>
      <c r="I24" s="289">
        <f t="shared" si="0"/>
        <v>0</v>
      </c>
      <c r="J24" s="195">
        <f t="shared" si="1"/>
        <v>0</v>
      </c>
    </row>
    <row r="25" spans="2:10" ht="21.9" customHeight="1">
      <c r="B25" s="418"/>
      <c r="C25" s="417"/>
      <c r="D25" s="417"/>
      <c r="E25" s="417"/>
      <c r="F25" s="417"/>
      <c r="G25" s="417"/>
      <c r="H25" s="289"/>
      <c r="I25" s="289">
        <f t="shared" si="0"/>
        <v>0</v>
      </c>
      <c r="J25" s="195">
        <f t="shared" si="1"/>
        <v>0</v>
      </c>
    </row>
    <row r="26" spans="2:10" ht="21.9" customHeight="1">
      <c r="B26" s="418"/>
      <c r="C26" s="417"/>
      <c r="D26" s="417"/>
      <c r="E26" s="417"/>
      <c r="F26" s="417"/>
      <c r="G26" s="417"/>
      <c r="H26" s="289"/>
      <c r="I26" s="289">
        <f t="shared" si="0"/>
        <v>0</v>
      </c>
      <c r="J26" s="195">
        <f t="shared" si="1"/>
        <v>0</v>
      </c>
    </row>
    <row r="27" spans="2:10" ht="21.9" customHeight="1">
      <c r="B27" s="418"/>
      <c r="C27" s="417"/>
      <c r="D27" s="417"/>
      <c r="E27" s="417"/>
      <c r="F27" s="417"/>
      <c r="G27" s="417"/>
      <c r="H27" s="289"/>
      <c r="I27" s="289">
        <f t="shared" si="0"/>
        <v>0</v>
      </c>
      <c r="J27" s="195">
        <f t="shared" si="1"/>
        <v>0</v>
      </c>
    </row>
    <row r="28" spans="2:10" ht="21.9" customHeight="1">
      <c r="B28" s="418"/>
      <c r="C28" s="417"/>
      <c r="D28" s="417"/>
      <c r="E28" s="417"/>
      <c r="F28" s="417"/>
      <c r="G28" s="417"/>
      <c r="H28" s="289"/>
      <c r="I28" s="289">
        <f t="shared" si="0"/>
        <v>0</v>
      </c>
      <c r="J28" s="195">
        <f t="shared" si="1"/>
        <v>0</v>
      </c>
    </row>
    <row r="29" spans="2:10" ht="21.9" customHeight="1">
      <c r="B29" s="418"/>
      <c r="C29" s="417"/>
      <c r="D29" s="417"/>
      <c r="E29" s="417"/>
      <c r="F29" s="417"/>
      <c r="G29" s="417"/>
      <c r="H29" s="289"/>
      <c r="I29" s="289">
        <f t="shared" si="0"/>
        <v>0</v>
      </c>
      <c r="J29" s="195">
        <f t="shared" si="1"/>
        <v>0</v>
      </c>
    </row>
    <row r="30" spans="2:10" ht="21.9" customHeight="1">
      <c r="B30" s="418"/>
      <c r="C30" s="417"/>
      <c r="D30" s="417"/>
      <c r="E30" s="417"/>
      <c r="F30" s="417"/>
      <c r="G30" s="417"/>
      <c r="H30" s="289"/>
      <c r="I30" s="289">
        <f t="shared" si="0"/>
        <v>0</v>
      </c>
      <c r="J30" s="195">
        <f t="shared" si="1"/>
        <v>0</v>
      </c>
    </row>
    <row r="31" spans="2:10" ht="21.9" customHeight="1">
      <c r="B31" s="418"/>
      <c r="C31" s="417"/>
      <c r="D31" s="417"/>
      <c r="E31" s="417"/>
      <c r="F31" s="417"/>
      <c r="G31" s="417"/>
      <c r="H31" s="289"/>
      <c r="I31" s="289">
        <f t="shared" si="0"/>
        <v>0</v>
      </c>
      <c r="J31" s="195">
        <f t="shared" si="1"/>
        <v>0</v>
      </c>
    </row>
    <row r="32" spans="2:10" ht="21.9" customHeight="1">
      <c r="B32" s="418"/>
      <c r="C32" s="417"/>
      <c r="D32" s="417"/>
      <c r="E32" s="417"/>
      <c r="F32" s="417"/>
      <c r="G32" s="417"/>
      <c r="H32" s="289"/>
      <c r="I32" s="289">
        <f t="shared" si="0"/>
        <v>0</v>
      </c>
      <c r="J32" s="195">
        <f t="shared" si="1"/>
        <v>0</v>
      </c>
    </row>
    <row r="33" spans="2:11" ht="21.9" customHeight="1">
      <c r="B33" s="418"/>
      <c r="C33" s="417"/>
      <c r="D33" s="417"/>
      <c r="E33" s="417"/>
      <c r="F33" s="417"/>
      <c r="G33" s="417"/>
      <c r="H33" s="289"/>
      <c r="I33" s="289">
        <f t="shared" si="0"/>
        <v>0</v>
      </c>
      <c r="J33" s="195">
        <f t="shared" si="1"/>
        <v>0</v>
      </c>
    </row>
    <row r="34" spans="2:11" ht="21.9" customHeight="1">
      <c r="B34" s="418"/>
      <c r="C34" s="417"/>
      <c r="D34" s="417"/>
      <c r="E34" s="417"/>
      <c r="F34" s="417"/>
      <c r="G34" s="417"/>
      <c r="H34" s="289"/>
      <c r="I34" s="289">
        <f t="shared" si="0"/>
        <v>0</v>
      </c>
      <c r="J34" s="195">
        <f t="shared" si="1"/>
        <v>0</v>
      </c>
    </row>
    <row r="35" spans="2:11" ht="21.9" customHeight="1">
      <c r="B35" s="418"/>
      <c r="C35" s="417"/>
      <c r="D35" s="417"/>
      <c r="E35" s="417"/>
      <c r="F35" s="417"/>
      <c r="G35" s="417"/>
      <c r="H35" s="289"/>
      <c r="I35" s="289">
        <f t="shared" si="0"/>
        <v>0</v>
      </c>
      <c r="J35" s="195">
        <f t="shared" si="1"/>
        <v>0</v>
      </c>
    </row>
    <row r="36" spans="2:11" ht="21.9" customHeight="1">
      <c r="B36" s="418"/>
      <c r="C36" s="417"/>
      <c r="D36" s="417"/>
      <c r="E36" s="417"/>
      <c r="F36" s="417"/>
      <c r="G36" s="417"/>
      <c r="H36" s="289"/>
      <c r="I36" s="289">
        <f t="shared" si="0"/>
        <v>0</v>
      </c>
      <c r="J36" s="195">
        <f t="shared" si="1"/>
        <v>0</v>
      </c>
    </row>
    <row r="37" spans="2:11" ht="21.9" customHeight="1">
      <c r="B37" s="418"/>
      <c r="C37" s="417"/>
      <c r="D37" s="417"/>
      <c r="E37" s="417"/>
      <c r="F37" s="417"/>
      <c r="G37" s="417"/>
      <c r="H37" s="289"/>
      <c r="I37" s="289">
        <f t="shared" si="0"/>
        <v>0</v>
      </c>
      <c r="J37" s="195">
        <f t="shared" si="1"/>
        <v>0</v>
      </c>
    </row>
    <row r="38" spans="2:11" ht="21.9" customHeight="1">
      <c r="B38" s="418"/>
      <c r="C38" s="417"/>
      <c r="D38" s="417"/>
      <c r="E38" s="417"/>
      <c r="F38" s="417"/>
      <c r="G38" s="417"/>
      <c r="H38" s="289"/>
      <c r="I38" s="289">
        <f t="shared" si="0"/>
        <v>0</v>
      </c>
      <c r="J38" s="195">
        <f t="shared" si="1"/>
        <v>0</v>
      </c>
    </row>
    <row r="39" spans="2:11" ht="21.9" customHeight="1">
      <c r="B39" s="418"/>
      <c r="C39" s="417"/>
      <c r="D39" s="417"/>
      <c r="E39" s="417"/>
      <c r="F39" s="417"/>
      <c r="G39" s="417"/>
      <c r="H39" s="289"/>
      <c r="I39" s="289">
        <f t="shared" si="0"/>
        <v>0</v>
      </c>
      <c r="J39" s="195">
        <f t="shared" si="1"/>
        <v>0</v>
      </c>
    </row>
    <row r="40" spans="2:11" ht="21.9" customHeight="1">
      <c r="B40" s="418"/>
      <c r="C40" s="417"/>
      <c r="D40" s="417"/>
      <c r="E40" s="417"/>
      <c r="F40" s="417"/>
      <c r="G40" s="417"/>
      <c r="H40" s="289"/>
      <c r="I40" s="289">
        <f t="shared" si="0"/>
        <v>0</v>
      </c>
      <c r="J40" s="195">
        <f t="shared" si="1"/>
        <v>0</v>
      </c>
    </row>
    <row r="41" spans="2:11" ht="21.9" customHeight="1">
      <c r="B41" s="418"/>
      <c r="C41" s="417"/>
      <c r="D41" s="417"/>
      <c r="E41" s="417"/>
      <c r="F41" s="417"/>
      <c r="G41" s="417"/>
      <c r="H41" s="289"/>
      <c r="I41" s="289">
        <f t="shared" si="0"/>
        <v>0</v>
      </c>
      <c r="J41" s="195">
        <f t="shared" si="1"/>
        <v>0</v>
      </c>
    </row>
    <row r="42" spans="2:11" ht="21.9" customHeight="1">
      <c r="B42" s="418"/>
      <c r="C42" s="417"/>
      <c r="D42" s="417"/>
      <c r="E42" s="417"/>
      <c r="F42" s="417"/>
      <c r="G42" s="417"/>
      <c r="H42" s="289"/>
      <c r="I42" s="289">
        <f t="shared" si="0"/>
        <v>0</v>
      </c>
      <c r="J42" s="195">
        <f t="shared" si="1"/>
        <v>0</v>
      </c>
    </row>
    <row r="43" spans="2:11" ht="21.9" customHeight="1" thickBot="1">
      <c r="B43" s="27"/>
      <c r="C43" s="264" t="s">
        <v>3288</v>
      </c>
      <c r="D43" s="27"/>
      <c r="E43" s="27"/>
      <c r="F43" s="27"/>
      <c r="G43" s="27"/>
      <c r="H43" s="101">
        <f>SUM(H10:H42)</f>
        <v>0</v>
      </c>
      <c r="I43" s="101">
        <f>SUM(I10:I42)</f>
        <v>0</v>
      </c>
      <c r="J43" s="215">
        <f>SUM(J10:J42)</f>
        <v>0</v>
      </c>
      <c r="K43" s="204"/>
    </row>
    <row r="44" spans="2:11" ht="13.8" thickTop="1">
      <c r="B44" t="s">
        <v>278</v>
      </c>
    </row>
    <row r="45" spans="2:11">
      <c r="B45" t="s">
        <v>279</v>
      </c>
    </row>
    <row r="46" spans="2:11">
      <c r="B46" t="s">
        <v>280</v>
      </c>
      <c r="H46" s="204"/>
    </row>
    <row r="48" spans="2:11">
      <c r="B48" t="s">
        <v>281</v>
      </c>
      <c r="E48" s="1166" t="s">
        <v>3810</v>
      </c>
      <c r="F48" s="1164"/>
      <c r="G48" s="1164"/>
      <c r="H48" s="1164"/>
    </row>
    <row r="49" spans="2:10" ht="13.8">
      <c r="B49" s="1130" t="s">
        <v>3334</v>
      </c>
      <c r="C49" s="1130"/>
      <c r="D49" s="1130"/>
      <c r="E49" s="1130"/>
      <c r="F49" s="1130"/>
      <c r="G49" s="1130"/>
      <c r="H49" s="1130"/>
      <c r="I49" s="1130"/>
      <c r="J49" s="1130"/>
    </row>
    <row r="52" spans="2:10">
      <c r="I52" s="204"/>
    </row>
  </sheetData>
  <sheetProtection algorithmName="SHA-512" hashValue="Lt/dnjq6NpNnfPklYvbUs7HrC1kLe8l5Q+kEutRDzs/qWc+swB4KN0yadKRIJ1GHQqINA0bA43bFi3yM4ZN8eg==" saltValue="4mx2QKx6xeA9w7w1yg2YKA=="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5"/>
  <dimension ref="B4:L54"/>
  <sheetViews>
    <sheetView topLeftCell="A20" zoomScaleNormal="100" workbookViewId="0">
      <selection activeCell="I15" sqref="I15"/>
    </sheetView>
  </sheetViews>
  <sheetFormatPr defaultRowHeight="13.2"/>
  <cols>
    <col min="1" max="1" width="3.6640625" customWidth="1"/>
    <col min="2" max="4" width="4.6640625" customWidth="1"/>
    <col min="7" max="7" width="23.5546875" customWidth="1"/>
    <col min="9" max="10" width="16.6640625" customWidth="1"/>
    <col min="11" max="12" width="13.5546875" bestFit="1" customWidth="1"/>
  </cols>
  <sheetData>
    <row r="4" spans="2:12" ht="20.399999999999999">
      <c r="B4" s="1131" t="str">
        <f>"STATEMENT OF GENERAL BUDGET APPROPRIATIONS "&amp;IF('KEY INPUTS'!C42 = "State Fiscal Year", "FY "&amp;'KEY INPUTS'!D33&amp;"", 'KEY INPUTS'!D34)</f>
        <v>STATEMENT OF GENERAL BUDGET APPROPRIATIONS 2024</v>
      </c>
      <c r="C4" s="1131"/>
      <c r="D4" s="1131"/>
      <c r="E4" s="1131"/>
      <c r="F4" s="1131"/>
      <c r="G4" s="1131"/>
      <c r="H4" s="1131"/>
      <c r="I4" s="1131"/>
      <c r="J4" s="1131"/>
    </row>
    <row r="5" spans="2:12" ht="13.8" thickBot="1">
      <c r="B5" s="10"/>
      <c r="C5" s="10"/>
      <c r="D5" s="10"/>
      <c r="E5" s="10"/>
      <c r="F5" s="10"/>
      <c r="G5" s="10"/>
      <c r="H5" s="10"/>
      <c r="I5" s="10"/>
      <c r="J5" s="10"/>
    </row>
    <row r="6" spans="2:12" ht="21.9" customHeight="1" thickTop="1">
      <c r="B6" s="22" t="str">
        <f>IF('KEY INPUTS'!C42="State Fiscal Year","Fiscal Year "&amp;'KEY INPUTS'!D33&amp;"",'KEY INPUTS'!D34)&amp;" Budget As Adopted"</f>
        <v>2024 Budget As Adopted</v>
      </c>
      <c r="C6" s="22"/>
      <c r="D6" s="22"/>
      <c r="E6" s="22"/>
      <c r="F6" s="22"/>
      <c r="G6" s="22"/>
      <c r="H6" s="22"/>
      <c r="I6" s="47"/>
      <c r="J6" s="201">
        <f>+'17-Budget Revenues'!H22-J7</f>
        <v>1816443.68</v>
      </c>
    </row>
    <row r="7" spans="2:12" ht="21.9" customHeight="1" thickBot="1">
      <c r="B7" s="5" t="str">
        <f>IF('KEY INPUTS'!C42="State Fiscal Year","Fiscal Year "&amp;'KEY INPUTS'!D33&amp;"",'KEY INPUTS'!D34)&amp;" Budget - Added by N.J.S.A. 40A:4-87"</f>
        <v>2024 Budget - Added by N.J.S.A. 40A:4-87</v>
      </c>
      <c r="C7" s="5"/>
      <c r="D7" s="5"/>
      <c r="E7" s="5"/>
      <c r="F7" s="5"/>
      <c r="G7" s="5"/>
      <c r="H7" s="5"/>
      <c r="I7" s="46"/>
      <c r="J7" s="213">
        <f>+'17a Totals-Budget Revenues'!H43</f>
        <v>0</v>
      </c>
    </row>
    <row r="8" spans="2:12" ht="21.9" customHeight="1">
      <c r="B8" s="5" t="str">
        <f>"Appropriated for "&amp;IF('KEY INPUTS'!C42="State Fiscal Year","Fiscal Year "&amp;'KEY INPUTS'!D33&amp;"",'KEY INPUTS'!D34)&amp;" (Budget Statement Item 9)"</f>
        <v>Appropriated for 2024 (Budget Statement Item 9)</v>
      </c>
      <c r="C8" s="5"/>
      <c r="D8" s="5"/>
      <c r="E8" s="5"/>
      <c r="F8" s="5"/>
      <c r="G8" s="5"/>
      <c r="H8" s="5"/>
      <c r="I8" s="46"/>
      <c r="J8" s="203">
        <f>+J7+J6</f>
        <v>1816443.68</v>
      </c>
      <c r="K8" s="204"/>
      <c r="L8" s="204"/>
    </row>
    <row r="9" spans="2:12" ht="21.9" customHeight="1" thickBot="1">
      <c r="B9" s="5" t="str">
        <f>"Appropriated for "&amp;IF('KEY INPUTS'!C42="State Fiscal Year","Fiscal Year "&amp;'KEY INPUTS'!D33&amp;"",'KEY INPUTS'!D34)&amp;" by Emergency Appropriation (Budget Statement Item 9)"</f>
        <v>Appropriated for 2024 by Emergency Appropriation (Budget Statement Item 9)</v>
      </c>
      <c r="C9" s="5"/>
      <c r="D9" s="5"/>
      <c r="E9" s="5"/>
      <c r="F9" s="5"/>
      <c r="G9" s="5"/>
      <c r="H9" s="5"/>
      <c r="I9" s="46"/>
      <c r="J9" s="434"/>
      <c r="K9" s="204"/>
    </row>
    <row r="10" spans="2:12" ht="21.9" customHeight="1">
      <c r="B10" s="5" t="s">
        <v>780</v>
      </c>
      <c r="C10" s="5"/>
      <c r="D10" s="5"/>
      <c r="E10" s="5"/>
      <c r="F10" s="5"/>
      <c r="G10" s="5"/>
      <c r="H10" s="5"/>
      <c r="I10" s="46"/>
      <c r="J10" s="203">
        <f>+J9+J8</f>
        <v>1816443.68</v>
      </c>
      <c r="K10" s="204"/>
      <c r="L10" s="204"/>
    </row>
    <row r="11" spans="2:12" ht="21.9" customHeight="1" thickBot="1">
      <c r="B11" s="5" t="s">
        <v>781</v>
      </c>
      <c r="C11" s="5"/>
      <c r="D11" s="5"/>
      <c r="E11" s="5"/>
      <c r="F11" s="5"/>
      <c r="G11" s="5"/>
      <c r="H11" s="5"/>
      <c r="I11" s="46"/>
      <c r="J11" s="434"/>
      <c r="L11" s="204"/>
    </row>
    <row r="12" spans="2:12" ht="21.9" customHeight="1">
      <c r="B12" s="5"/>
      <c r="C12" s="5" t="s">
        <v>726</v>
      </c>
      <c r="D12" s="5"/>
      <c r="E12" s="5"/>
      <c r="F12" s="5"/>
      <c r="G12" s="5"/>
      <c r="H12" s="5"/>
      <c r="I12" s="46"/>
      <c r="J12" s="203">
        <f>+J10+J11</f>
        <v>1816443.68</v>
      </c>
      <c r="K12" s="204"/>
    </row>
    <row r="13" spans="2:12" ht="21.9" customHeight="1">
      <c r="B13" s="5" t="s">
        <v>727</v>
      </c>
      <c r="C13" s="5"/>
      <c r="D13" s="5"/>
      <c r="E13" s="5"/>
      <c r="F13" s="5"/>
      <c r="G13" s="5"/>
      <c r="H13" s="5"/>
      <c r="I13" s="46"/>
      <c r="J13" s="70"/>
    </row>
    <row r="14" spans="2:12" ht="21.9" customHeight="1">
      <c r="B14" s="5"/>
      <c r="C14" s="5" t="s">
        <v>728</v>
      </c>
      <c r="D14" s="5"/>
      <c r="E14" s="5"/>
      <c r="F14" s="5"/>
      <c r="G14" s="5"/>
      <c r="H14" s="5"/>
      <c r="I14" s="289">
        <f>1718410.86-I15-1</f>
        <v>1481834.86</v>
      </c>
      <c r="J14" s="70"/>
      <c r="K14" s="204"/>
    </row>
    <row r="15" spans="2:12" ht="21.9" customHeight="1">
      <c r="B15" s="5"/>
      <c r="C15" s="5" t="s">
        <v>729</v>
      </c>
      <c r="D15" s="5"/>
      <c r="E15" s="5"/>
      <c r="F15" s="5"/>
      <c r="G15" s="5"/>
      <c r="H15" s="5"/>
      <c r="I15" s="289">
        <v>236575</v>
      </c>
      <c r="J15" s="70"/>
      <c r="K15" s="204"/>
    </row>
    <row r="16" spans="2:12" ht="21.9" customHeight="1" thickBot="1">
      <c r="B16" s="5"/>
      <c r="C16" s="5" t="s">
        <v>730</v>
      </c>
      <c r="D16" s="5"/>
      <c r="E16" s="5"/>
      <c r="F16" s="5"/>
      <c r="G16" s="5"/>
      <c r="H16" s="5"/>
      <c r="I16" s="435">
        <v>98032.82</v>
      </c>
      <c r="J16" s="70"/>
      <c r="K16" s="204"/>
    </row>
    <row r="17" spans="2:12" ht="21.9" customHeight="1" thickBot="1">
      <c r="B17" s="5"/>
      <c r="C17" s="5"/>
      <c r="D17" s="5" t="s">
        <v>731</v>
      </c>
      <c r="E17" s="5"/>
      <c r="F17" s="5"/>
      <c r="G17" s="5"/>
      <c r="H17" s="5"/>
      <c r="I17" s="71"/>
      <c r="J17" s="213">
        <f>SUM(I14:I16)</f>
        <v>1816442.6800000002</v>
      </c>
      <c r="K17" s="204"/>
    </row>
    <row r="18" spans="2:12" ht="21.9" customHeight="1" thickBot="1">
      <c r="B18" s="27" t="s">
        <v>779</v>
      </c>
      <c r="C18" s="27"/>
      <c r="D18" s="27"/>
      <c r="E18" s="27"/>
      <c r="F18" s="27"/>
      <c r="G18" s="27"/>
      <c r="H18" s="27"/>
      <c r="I18" s="73"/>
      <c r="J18" s="210">
        <f>+J12-J17</f>
        <v>0.99999999976716936</v>
      </c>
      <c r="K18" s="204"/>
      <c r="L18" s="204"/>
    </row>
    <row r="19" spans="2:12" ht="13.8" thickTop="1">
      <c r="K19" s="204"/>
    </row>
    <row r="20" spans="2:12">
      <c r="B20" s="189" t="s">
        <v>776</v>
      </c>
      <c r="K20" s="204"/>
    </row>
    <row r="21" spans="2:12">
      <c r="C21" s="34" t="s">
        <v>46</v>
      </c>
    </row>
    <row r="22" spans="2:12">
      <c r="C22" s="34" t="s">
        <v>777</v>
      </c>
    </row>
    <row r="23" spans="2:12">
      <c r="C23" s="34" t="s">
        <v>47</v>
      </c>
    </row>
    <row r="24" spans="2:12">
      <c r="C24" s="34"/>
      <c r="D24" s="34" t="s">
        <v>48</v>
      </c>
    </row>
    <row r="32" spans="2:12" ht="20.399999999999999">
      <c r="B32" s="1131" t="s">
        <v>782</v>
      </c>
      <c r="C32" s="1131"/>
      <c r="D32" s="1131"/>
      <c r="E32" s="1131"/>
      <c r="F32" s="1131"/>
      <c r="G32" s="1131"/>
      <c r="H32" s="1131"/>
      <c r="I32" s="1131"/>
      <c r="J32" s="1131"/>
    </row>
    <row r="33" spans="2:11" ht="20.399999999999999">
      <c r="B33" s="1131" t="s">
        <v>589</v>
      </c>
      <c r="C33" s="1131"/>
      <c r="D33" s="1131"/>
      <c r="E33" s="1131"/>
      <c r="F33" s="1131"/>
      <c r="G33" s="1131"/>
      <c r="H33" s="1131"/>
      <c r="I33" s="1131"/>
      <c r="J33" s="1131"/>
    </row>
    <row r="35" spans="2:11" ht="13.8">
      <c r="B35" s="1130" t="s">
        <v>590</v>
      </c>
      <c r="C35" s="1130"/>
      <c r="D35" s="1130"/>
      <c r="E35" s="1130"/>
      <c r="F35" s="1130"/>
      <c r="G35" s="1130"/>
      <c r="H35" s="1130"/>
      <c r="I35" s="1130"/>
      <c r="J35" s="1130"/>
    </row>
    <row r="36" spans="2:11" ht="13.8" thickBot="1">
      <c r="B36" s="10"/>
      <c r="C36" s="10"/>
      <c r="D36" s="10"/>
      <c r="E36" s="10"/>
      <c r="F36" s="10"/>
      <c r="G36" s="10"/>
      <c r="H36" s="10"/>
      <c r="I36" s="10"/>
      <c r="J36" s="10"/>
    </row>
    <row r="37" spans="2:11" ht="21" customHeight="1" thickTop="1">
      <c r="B37" s="22" t="str">
        <f>IF('KEY INPUTS'!C42="State Fiscal Year","Fiscal Year "&amp;'KEY INPUTS'!D33&amp;"",'KEY INPUTS'!D34)&amp;" Authorizations"</f>
        <v>2024 Authorizations</v>
      </c>
      <c r="C37" s="22"/>
      <c r="D37" s="22"/>
      <c r="E37" s="22"/>
      <c r="F37" s="22"/>
      <c r="G37" s="22"/>
      <c r="H37" s="23"/>
      <c r="I37" s="721"/>
    </row>
    <row r="38" spans="2:11" ht="21" customHeight="1">
      <c r="B38" s="5"/>
      <c r="C38" s="263" t="s">
        <v>3624</v>
      </c>
      <c r="D38" s="5"/>
      <c r="E38" s="5"/>
      <c r="F38" s="5"/>
      <c r="G38" s="5"/>
      <c r="H38" s="24"/>
      <c r="I38" s="291"/>
    </row>
    <row r="39" spans="2:11" ht="21" customHeight="1" thickBot="1">
      <c r="B39" s="5"/>
      <c r="C39" s="263" t="s">
        <v>3625</v>
      </c>
      <c r="D39" s="5"/>
      <c r="E39" s="5"/>
      <c r="F39" s="5"/>
      <c r="G39" s="5"/>
      <c r="H39" s="24"/>
      <c r="I39" s="725"/>
    </row>
    <row r="40" spans="2:11" ht="21" customHeight="1">
      <c r="B40" s="5"/>
      <c r="C40" s="5"/>
      <c r="D40" s="5" t="s">
        <v>592</v>
      </c>
      <c r="E40" s="5"/>
      <c r="F40" s="5"/>
      <c r="G40" s="5"/>
      <c r="H40" s="24"/>
      <c r="I40" s="723"/>
      <c r="J40" s="711">
        <f>SUM(I38:I39)</f>
        <v>0</v>
      </c>
      <c r="K40" s="550"/>
    </row>
    <row r="41" spans="2:11" ht="21" customHeight="1">
      <c r="B41" s="5" t="s">
        <v>727</v>
      </c>
      <c r="C41" s="5"/>
      <c r="D41" s="5"/>
      <c r="E41" s="5"/>
      <c r="F41" s="5"/>
      <c r="G41" s="5"/>
      <c r="H41" s="24"/>
      <c r="I41" s="722"/>
    </row>
    <row r="42" spans="2:11" ht="21" customHeight="1">
      <c r="B42" s="5"/>
      <c r="C42" s="5" t="s">
        <v>593</v>
      </c>
      <c r="D42" s="5"/>
      <c r="E42" s="5"/>
      <c r="F42" s="5"/>
      <c r="G42" s="5"/>
      <c r="H42" s="24"/>
      <c r="I42" s="291"/>
    </row>
    <row r="43" spans="2:11" ht="21" customHeight="1" thickBot="1">
      <c r="B43" s="5"/>
      <c r="C43" s="5" t="s">
        <v>730</v>
      </c>
      <c r="D43" s="5"/>
      <c r="E43" s="5"/>
      <c r="F43" s="5"/>
      <c r="G43" s="5"/>
      <c r="H43" s="24"/>
      <c r="I43" s="725"/>
    </row>
    <row r="44" spans="2:11" ht="21" customHeight="1" thickBot="1">
      <c r="B44" s="10"/>
      <c r="C44" s="10"/>
      <c r="D44" s="10" t="s">
        <v>731</v>
      </c>
      <c r="E44" s="10"/>
      <c r="F44" s="10"/>
      <c r="G44" s="10"/>
      <c r="H44" s="10"/>
      <c r="I44" s="724"/>
      <c r="J44" s="712">
        <f>SUM(I42:I43)</f>
        <v>0</v>
      </c>
    </row>
    <row r="45" spans="2:11" ht="13.8" thickTop="1"/>
    <row r="54" spans="2:10" ht="13.8">
      <c r="B54" s="1130" t="s">
        <v>591</v>
      </c>
      <c r="C54" s="1130"/>
      <c r="D54" s="1130"/>
      <c r="E54" s="1130"/>
      <c r="F54" s="1130"/>
      <c r="G54" s="1130"/>
      <c r="H54" s="1130"/>
      <c r="I54" s="1130"/>
      <c r="J54" s="1130"/>
    </row>
  </sheetData>
  <sheetProtection algorithmName="SHA-512" hashValue="5TK3hjKQiT/7FgWFI8INl5zBqVSiBVCWCaMOGd7RRgsf/Gj4LG26DP040Um9H2tQImzmrfYXlYWY/5aqBdNhKw==" saltValue="j/zs9t0BfWiXK/NWgUXUQw==" spinCount="100000" sheet="1" objects="1" scenarios="1"/>
  <mergeCells count="5">
    <mergeCell ref="B54:J54"/>
    <mergeCell ref="B4:J4"/>
    <mergeCell ref="B32:J32"/>
    <mergeCell ref="B33:J33"/>
    <mergeCell ref="B35:J35"/>
  </mergeCells>
  <phoneticPr fontId="0" type="noConversion"/>
  <pageMargins left="0.25" right="0.25" top="0.5" bottom="0.5" header="0.25" footer="0.25"/>
  <pageSetup paperSize="5"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6"/>
  <dimension ref="B3:L48"/>
  <sheetViews>
    <sheetView topLeftCell="A23" zoomScaleNormal="100" workbookViewId="0">
      <selection activeCell="I14" sqref="I14"/>
    </sheetView>
  </sheetViews>
  <sheetFormatPr defaultRowHeight="13.2"/>
  <cols>
    <col min="1" max="3" width="4.6640625" customWidth="1"/>
    <col min="5" max="5" width="24.44140625" customWidth="1"/>
    <col min="8" max="9" width="16.6640625" customWidth="1"/>
    <col min="10" max="10" width="13.6640625" bestFit="1" customWidth="1"/>
    <col min="11" max="11" width="11.109375" bestFit="1" customWidth="1"/>
  </cols>
  <sheetData>
    <row r="3" spans="2:10" ht="22.8">
      <c r="B3" s="1176" t="str">
        <f>" RESULTS OF "&amp;IF('KEY INPUTS'!C42 = "State Fiscal Year", "FISCAL YEAR "&amp;'KEY INPUTS'!D33&amp;"",'KEY INPUTS'!D34)&amp;" OPERATIONS"</f>
        <v xml:space="preserve"> RESULTS OF 2024 OPERATIONS</v>
      </c>
      <c r="C3" s="1176"/>
      <c r="D3" s="1176"/>
      <c r="E3" s="1176"/>
      <c r="F3" s="1176"/>
      <c r="G3" s="1176"/>
      <c r="H3" s="1176"/>
      <c r="I3" s="1176"/>
    </row>
    <row r="4" spans="2:10" ht="13.8">
      <c r="B4" s="1130"/>
      <c r="C4" s="1130"/>
      <c r="D4" s="1130"/>
      <c r="E4" s="1130"/>
      <c r="F4" s="1130"/>
      <c r="G4" s="1130"/>
      <c r="H4" s="1130"/>
      <c r="I4" s="1130"/>
    </row>
    <row r="6" spans="2:10" ht="15.6">
      <c r="B6" s="1168" t="s">
        <v>594</v>
      </c>
      <c r="C6" s="1168"/>
      <c r="D6" s="1168"/>
      <c r="E6" s="1168"/>
      <c r="F6" s="1168"/>
      <c r="G6" s="1168"/>
      <c r="H6" s="1168"/>
      <c r="I6" s="1168"/>
    </row>
    <row r="7" spans="2:10" ht="15.6">
      <c r="B7" s="274"/>
      <c r="C7" s="274"/>
      <c r="D7" s="274"/>
      <c r="E7" s="274"/>
      <c r="F7" s="274"/>
      <c r="G7" s="274"/>
      <c r="H7" s="274"/>
      <c r="I7" s="274"/>
    </row>
    <row r="8" spans="2:10" ht="8.25" customHeight="1" thickBot="1">
      <c r="B8" s="10"/>
      <c r="C8" s="10"/>
      <c r="D8" s="10"/>
      <c r="E8" s="10"/>
      <c r="F8" s="10"/>
      <c r="G8" s="10"/>
      <c r="H8" s="10"/>
      <c r="I8" s="10"/>
    </row>
    <row r="9" spans="2:10" ht="32.1" customHeight="1" thickTop="1" thickBot="1">
      <c r="B9" s="1179"/>
      <c r="C9" s="1179"/>
      <c r="D9" s="1179"/>
      <c r="E9" s="1179"/>
      <c r="F9" s="1179"/>
      <c r="G9" s="1179"/>
      <c r="H9" s="4" t="s">
        <v>96</v>
      </c>
      <c r="I9" s="3" t="s">
        <v>97</v>
      </c>
    </row>
    <row r="10" spans="2:10" ht="21.9" customHeight="1" thickTop="1">
      <c r="B10" s="22" t="s">
        <v>707</v>
      </c>
      <c r="C10" s="22"/>
      <c r="D10" s="22"/>
      <c r="E10" s="22"/>
      <c r="F10" s="22"/>
      <c r="G10" s="22"/>
      <c r="H10" s="254" t="s">
        <v>627</v>
      </c>
      <c r="I10" s="275" t="s">
        <v>627</v>
      </c>
    </row>
    <row r="11" spans="2:10" ht="21.9" customHeight="1">
      <c r="B11" s="5"/>
      <c r="C11" s="5" t="s">
        <v>146</v>
      </c>
      <c r="D11" s="5"/>
      <c r="E11" s="5"/>
      <c r="F11" s="5"/>
      <c r="G11" s="5"/>
      <c r="H11" s="254" t="s">
        <v>627</v>
      </c>
      <c r="I11" s="255">
        <f>IF(+'17-Budget Revenues'!J14&gt;0, +'17-Budget Revenues'!J14,0)</f>
        <v>1312.2299999999814</v>
      </c>
      <c r="J11" s="204"/>
    </row>
    <row r="12" spans="2:10" ht="21.9" customHeight="1">
      <c r="B12" s="5"/>
      <c r="C12" s="5" t="s">
        <v>147</v>
      </c>
      <c r="D12" s="5"/>
      <c r="E12" s="5"/>
      <c r="F12" s="5"/>
      <c r="G12" s="5"/>
      <c r="H12" s="254" t="s">
        <v>627</v>
      </c>
      <c r="I12" s="255">
        <f>IF(+'17-Budget Revenues'!J15&gt;0, +'17-Budget Revenues'!J15,0)</f>
        <v>37312.410000000003</v>
      </c>
      <c r="J12" s="204"/>
    </row>
    <row r="13" spans="2:10" ht="21.9" customHeight="1">
      <c r="B13" s="417"/>
      <c r="C13" s="417"/>
      <c r="D13" s="417"/>
      <c r="E13" s="417"/>
      <c r="F13" s="417"/>
      <c r="G13" s="417"/>
      <c r="H13" s="254" t="s">
        <v>627</v>
      </c>
      <c r="I13" s="438"/>
    </row>
    <row r="14" spans="2:10" ht="21.9" customHeight="1">
      <c r="B14" s="5"/>
      <c r="C14" s="5" t="s">
        <v>148</v>
      </c>
      <c r="D14" s="5"/>
      <c r="E14" s="5"/>
      <c r="F14" s="5"/>
      <c r="G14" s="5"/>
      <c r="H14" s="254" t="s">
        <v>627</v>
      </c>
      <c r="I14" s="255">
        <f>IF(+'17-Budget Revenues'!J21&gt;0, +'17-Budget Revenues'!J21,0)</f>
        <v>133119.61000000034</v>
      </c>
      <c r="J14" s="204"/>
    </row>
    <row r="15" spans="2:10" ht="21.9" customHeight="1">
      <c r="B15" s="5" t="str">
        <f>"Unexpended Balances of "&amp;IF('KEY INPUTS'!C42 = "State Fiscal Year", "Fiscal Year "&amp;'KEY INPUTS'!D33&amp;"",'KEY INPUTS'!D34)&amp;" Budget Appropriations"</f>
        <v>Unexpended Balances of 2024 Budget Appropriations</v>
      </c>
      <c r="C15" s="5"/>
      <c r="D15" s="5"/>
      <c r="E15" s="5"/>
      <c r="F15" s="5"/>
      <c r="G15" s="5"/>
      <c r="H15" s="254" t="s">
        <v>627</v>
      </c>
      <c r="I15" s="255">
        <f>+'18-Budget Appropriations'!J18</f>
        <v>0.99999999976716936</v>
      </c>
      <c r="J15" s="204"/>
    </row>
    <row r="16" spans="2:10" ht="21.9" customHeight="1">
      <c r="B16" s="5" t="s">
        <v>334</v>
      </c>
      <c r="C16" s="5"/>
      <c r="D16" s="5"/>
      <c r="E16" s="5"/>
      <c r="F16" s="5"/>
      <c r="G16" s="5"/>
      <c r="H16" s="254" t="s">
        <v>627</v>
      </c>
      <c r="I16" s="255">
        <f>'20 Total-Misc Rev Not Ant'!H41</f>
        <v>125831.89</v>
      </c>
      <c r="J16" s="204"/>
    </row>
    <row r="17" spans="2:11">
      <c r="B17" s="7" t="s">
        <v>266</v>
      </c>
      <c r="C17" s="7"/>
      <c r="D17" s="7"/>
      <c r="E17" s="7"/>
      <c r="F17" s="7"/>
      <c r="G17" s="7"/>
      <c r="H17" s="1234" t="s">
        <v>627</v>
      </c>
      <c r="I17" s="1232">
        <f>'27-Foreclosed Property'!I47</f>
        <v>0</v>
      </c>
    </row>
    <row r="18" spans="2:11" ht="12.75" customHeight="1">
      <c r="B18" s="30"/>
      <c r="C18" s="30" t="s">
        <v>267</v>
      </c>
      <c r="D18" s="30"/>
      <c r="E18" s="30"/>
      <c r="F18" s="30"/>
      <c r="G18" s="30"/>
      <c r="H18" s="1235"/>
      <c r="I18" s="1233"/>
    </row>
    <row r="19" spans="2:11" ht="21.9" customHeight="1">
      <c r="B19" s="5"/>
      <c r="C19" s="5" t="s">
        <v>277</v>
      </c>
      <c r="D19" s="5"/>
      <c r="E19" s="5"/>
      <c r="F19" s="5"/>
      <c r="G19" s="5"/>
      <c r="H19" s="254" t="s">
        <v>627</v>
      </c>
      <c r="I19" s="438"/>
    </row>
    <row r="20" spans="2:11" ht="21.9" customHeight="1">
      <c r="B20" s="5" t="s">
        <v>161</v>
      </c>
      <c r="C20" s="5"/>
      <c r="D20" s="5"/>
      <c r="E20" s="5"/>
      <c r="F20" s="5"/>
      <c r="G20" s="5"/>
      <c r="H20" s="254" t="s">
        <v>627</v>
      </c>
      <c r="I20" s="438"/>
    </row>
    <row r="21" spans="2:11" ht="21.9" customHeight="1">
      <c r="B21" s="5" t="str">
        <f>"Unexpended Balances of "&amp;IF('KEY INPUTS'!C42 = "State Fiscal Year", "Fiscal Year "&amp;'KEY INPUTS'!D33-1&amp;"",'KEY INPUTS'!D34-1)&amp;" Appropriation Reserves"</f>
        <v>Unexpended Balances of 2023 Appropriation Reserves</v>
      </c>
      <c r="C21" s="5"/>
      <c r="D21" s="5"/>
      <c r="E21" s="5"/>
      <c r="F21" s="5"/>
      <c r="G21" s="5"/>
      <c r="H21" s="254" t="s">
        <v>627</v>
      </c>
      <c r="I21" s="438">
        <v>109523.46</v>
      </c>
      <c r="J21" s="204"/>
    </row>
    <row r="22" spans="2:11" ht="21.9" customHeight="1">
      <c r="B22" s="5" t="str">
        <f>"Prior Years Interfunds Returned in "&amp;IF('KEY INPUTS'!C42 = "State Fiscal Year", "Fiscal Year "&amp;'KEY INPUTS'!D33&amp;"",'KEY INPUTS'!D34)</f>
        <v>Prior Years Interfunds Returned in 2024</v>
      </c>
      <c r="C22" s="5"/>
      <c r="D22" s="5"/>
      <c r="E22" s="5"/>
      <c r="F22" s="5"/>
      <c r="G22" s="5"/>
      <c r="H22" s="254" t="s">
        <v>627</v>
      </c>
      <c r="I22" s="438">
        <v>67694.98</v>
      </c>
      <c r="J22" s="204"/>
    </row>
    <row r="23" spans="2:11" ht="21.9" customHeight="1">
      <c r="B23" s="418"/>
      <c r="C23" s="417"/>
      <c r="D23" s="417"/>
      <c r="E23" s="417"/>
      <c r="F23" s="417"/>
      <c r="G23" s="417"/>
      <c r="H23" s="527"/>
      <c r="I23" s="438"/>
    </row>
    <row r="24" spans="2:11" ht="21.9" customHeight="1">
      <c r="B24" s="417"/>
      <c r="C24" s="417"/>
      <c r="D24" s="417"/>
      <c r="E24" s="417"/>
      <c r="F24" s="417"/>
      <c r="G24" s="417"/>
      <c r="H24" s="527"/>
      <c r="I24" s="438"/>
    </row>
    <row r="25" spans="2:11" ht="21.9" customHeight="1">
      <c r="B25" s="418"/>
      <c r="C25" s="417"/>
      <c r="D25" s="417"/>
      <c r="E25" s="417"/>
      <c r="F25" s="417"/>
      <c r="G25" s="417"/>
      <c r="H25" s="527"/>
      <c r="I25" s="438"/>
      <c r="J25" s="204"/>
    </row>
    <row r="26" spans="2:11" ht="21.9" customHeight="1">
      <c r="B26" s="417"/>
      <c r="C26" s="417"/>
      <c r="D26" s="417"/>
      <c r="E26" s="417"/>
      <c r="F26" s="417"/>
      <c r="G26" s="417"/>
      <c r="H26" s="527"/>
      <c r="I26" s="438"/>
    </row>
    <row r="27" spans="2:11" ht="21.9" customHeight="1">
      <c r="B27" s="5" t="s">
        <v>290</v>
      </c>
      <c r="C27" s="5"/>
      <c r="D27" s="5"/>
      <c r="E27" s="5"/>
      <c r="F27" s="5"/>
      <c r="G27" s="5"/>
      <c r="H27" s="254" t="s">
        <v>627</v>
      </c>
      <c r="I27" s="232" t="s">
        <v>627</v>
      </c>
      <c r="J27" s="204"/>
    </row>
    <row r="28" spans="2:11" ht="21.9" customHeight="1">
      <c r="B28" s="5"/>
      <c r="C28" s="5" t="str">
        <f>IF('KEY INPUTS'!C42 = "State Fiscal Year", 'KEY INPUTS'!F25,'KEY INPUTS'!D25)</f>
        <v>Balance - January 1, 2024</v>
      </c>
      <c r="D28" s="5"/>
      <c r="E28" s="5"/>
      <c r="F28" s="5"/>
      <c r="G28" s="5"/>
      <c r="H28" s="272">
        <f>+'13-Other Taxes'!H11+'14-Other Taxes'!H12+'14-Other Taxes'!H33</f>
        <v>1046447.75</v>
      </c>
      <c r="I28" s="232" t="s">
        <v>627</v>
      </c>
      <c r="J28" s="204"/>
      <c r="K28" s="204"/>
    </row>
    <row r="29" spans="2:11" ht="21.9" customHeight="1">
      <c r="B29" s="5"/>
      <c r="C29" s="5" t="str">
        <f>IF('KEY INPUTS'!C42 = "State Fiscal Year", 'KEY INPUTS'!F26,'KEY INPUTS'!D26)</f>
        <v>Balance - December 31, 2024</v>
      </c>
      <c r="D29" s="5"/>
      <c r="E29" s="5"/>
      <c r="F29" s="5"/>
      <c r="G29" s="5"/>
      <c r="H29" s="254" t="s">
        <v>627</v>
      </c>
      <c r="I29" s="255">
        <f>'13-Other Taxes'!G18+'14-Other Taxes'!G40+'14-Other Taxes'!G19</f>
        <v>1495983.5</v>
      </c>
      <c r="J29" s="204"/>
      <c r="K29" s="204"/>
    </row>
    <row r="30" spans="2:11" ht="21.9" customHeight="1">
      <c r="B30" s="5" t="s">
        <v>206</v>
      </c>
      <c r="C30" s="5"/>
      <c r="D30" s="5"/>
      <c r="E30" s="5"/>
      <c r="F30" s="5"/>
      <c r="G30" s="5"/>
      <c r="H30" s="254" t="s">
        <v>627</v>
      </c>
      <c r="I30" s="232" t="s">
        <v>627</v>
      </c>
      <c r="J30" s="204"/>
      <c r="K30" s="204"/>
    </row>
    <row r="31" spans="2:11" ht="21.9" customHeight="1">
      <c r="B31" s="5"/>
      <c r="C31" s="5" t="s">
        <v>268</v>
      </c>
      <c r="D31" s="5"/>
      <c r="E31" s="5"/>
      <c r="F31" s="5"/>
      <c r="G31" s="5"/>
      <c r="H31" s="272">
        <f>IF(+'17-Budget Revenues'!J14&lt;0, -'17-Budget Revenues'!J14,0)</f>
        <v>0</v>
      </c>
      <c r="I31" s="232" t="s">
        <v>627</v>
      </c>
      <c r="J31" s="204"/>
    </row>
    <row r="32" spans="2:11" ht="21.9" customHeight="1">
      <c r="B32" s="5"/>
      <c r="C32" s="5" t="s">
        <v>147</v>
      </c>
      <c r="D32" s="5"/>
      <c r="E32" s="5"/>
      <c r="F32" s="5"/>
      <c r="G32" s="5"/>
      <c r="H32" s="272">
        <f>IF(+'17-Budget Revenues'!J15&lt;0, -'17-Budget Revenues'!J15,0)</f>
        <v>0</v>
      </c>
      <c r="I32" s="232" t="s">
        <v>627</v>
      </c>
      <c r="J32" s="204"/>
    </row>
    <row r="33" spans="2:12" ht="21.9" customHeight="1">
      <c r="B33" s="614"/>
      <c r="C33" s="614"/>
      <c r="D33" s="614"/>
      <c r="E33" s="614"/>
      <c r="F33" s="614"/>
      <c r="G33" s="720"/>
      <c r="H33" s="289"/>
      <c r="I33" s="232" t="s">
        <v>627</v>
      </c>
    </row>
    <row r="34" spans="2:12" ht="21.9" customHeight="1">
      <c r="B34" s="5"/>
      <c r="C34" s="5" t="s">
        <v>269</v>
      </c>
      <c r="D34" s="5"/>
      <c r="E34" s="5"/>
      <c r="F34" s="5"/>
      <c r="G34" s="5"/>
      <c r="H34" s="272">
        <f>IF(+'17-Budget Revenues'!J21&lt;0, -'17-Budget Revenues'!J21,0)</f>
        <v>0</v>
      </c>
      <c r="I34" s="232" t="s">
        <v>627</v>
      </c>
    </row>
    <row r="35" spans="2:12" ht="21.9" customHeight="1">
      <c r="B35" s="5" t="str">
        <f>"Interfund Advances Originating in "&amp;IF('KEY INPUTS'!C42 = "State Fiscal Year", "Fiscal Year "&amp;'KEY INPUTS'!D33&amp;"",'KEY INPUTS'!D34)</f>
        <v>Interfund Advances Originating in 2024</v>
      </c>
      <c r="C35" s="5"/>
      <c r="D35" s="5"/>
      <c r="E35" s="5"/>
      <c r="F35" s="5"/>
      <c r="G35" s="5"/>
      <c r="H35" s="289">
        <v>51.95</v>
      </c>
      <c r="I35" s="232" t="s">
        <v>627</v>
      </c>
      <c r="J35" s="204"/>
    </row>
    <row r="36" spans="2:12" ht="21.9" customHeight="1">
      <c r="B36" s="417"/>
      <c r="C36" s="417"/>
      <c r="D36" s="417"/>
      <c r="E36" s="417"/>
      <c r="F36" s="417"/>
      <c r="G36" s="417"/>
      <c r="H36" s="289"/>
      <c r="I36" s="943"/>
    </row>
    <row r="37" spans="2:12" ht="21.9" customHeight="1">
      <c r="B37" s="417"/>
      <c r="C37" s="417"/>
      <c r="D37" s="417"/>
      <c r="E37" s="417"/>
      <c r="F37" s="417"/>
      <c r="G37" s="417"/>
      <c r="H37" s="289"/>
      <c r="I37" s="943"/>
    </row>
    <row r="38" spans="2:12" ht="21.9" customHeight="1">
      <c r="B38" s="417"/>
      <c r="C38" s="417"/>
      <c r="D38" s="417"/>
      <c r="E38" s="417"/>
      <c r="F38" s="417"/>
      <c r="G38" s="417"/>
      <c r="H38" s="289"/>
      <c r="I38" s="943"/>
    </row>
    <row r="39" spans="2:12" ht="21.9" customHeight="1">
      <c r="B39" s="417"/>
      <c r="C39" s="417"/>
      <c r="D39" s="417"/>
      <c r="E39" s="417"/>
      <c r="F39" s="417"/>
      <c r="G39" s="417"/>
      <c r="H39" s="289"/>
      <c r="I39" s="943"/>
    </row>
    <row r="40" spans="2:12" ht="21.9" customHeight="1">
      <c r="B40" s="417"/>
      <c r="C40" s="417"/>
      <c r="D40" s="417"/>
      <c r="E40" s="417"/>
      <c r="F40" s="417"/>
      <c r="G40" s="417"/>
      <c r="H40" s="289"/>
      <c r="I40" s="943"/>
    </row>
    <row r="41" spans="2:12" ht="21.9" customHeight="1">
      <c r="B41" s="417"/>
      <c r="C41" s="417"/>
      <c r="D41" s="417"/>
      <c r="E41" s="417"/>
      <c r="F41" s="417"/>
      <c r="G41" s="417"/>
      <c r="H41" s="289"/>
      <c r="I41" s="943"/>
      <c r="J41" s="204"/>
    </row>
    <row r="42" spans="2:12" ht="21.9" customHeight="1">
      <c r="B42" s="417"/>
      <c r="C42" s="417"/>
      <c r="D42" s="417"/>
      <c r="E42" s="417"/>
      <c r="F42" s="417"/>
      <c r="G42" s="417"/>
      <c r="H42" s="289"/>
      <c r="I42" s="943"/>
    </row>
    <row r="43" spans="2:12" ht="21.9" customHeight="1">
      <c r="B43" s="5" t="s">
        <v>270</v>
      </c>
      <c r="C43" s="5"/>
      <c r="D43" s="5"/>
      <c r="E43" s="5"/>
      <c r="F43" s="5"/>
      <c r="G43" s="5"/>
      <c r="H43" s="254" t="s">
        <v>627</v>
      </c>
      <c r="I43" s="623">
        <f>IF(+J44&gt;0,0,J44*-1)</f>
        <v>0</v>
      </c>
      <c r="J43" s="204"/>
    </row>
    <row r="44" spans="2:12" ht="21.9" customHeight="1" thickBot="1">
      <c r="B44" s="5" t="s">
        <v>145</v>
      </c>
      <c r="C44" s="5"/>
      <c r="D44" s="5"/>
      <c r="E44" s="5"/>
      <c r="F44" s="5"/>
      <c r="G44" s="5"/>
      <c r="H44" s="256">
        <f>+IF(+J44&gt;0,J44,0)</f>
        <v>924279.38000000012</v>
      </c>
      <c r="I44" s="276" t="s">
        <v>627</v>
      </c>
      <c r="J44" s="204">
        <f>SUM(I10:I42)-SUM(H10:H42)</f>
        <v>924279.38000000012</v>
      </c>
      <c r="K44" s="550" t="s">
        <v>3352</v>
      </c>
      <c r="L44" s="204"/>
    </row>
    <row r="45" spans="2:12" ht="21.9" customHeight="1" thickBot="1">
      <c r="B45" s="7"/>
      <c r="C45" s="7"/>
      <c r="D45" s="7"/>
      <c r="E45" s="7"/>
      <c r="F45" s="7"/>
      <c r="G45" s="79"/>
      <c r="H45" s="277">
        <f>SUM(H10:H44)</f>
        <v>1970779.08</v>
      </c>
      <c r="I45" s="278">
        <f>SUM(I10:I44)</f>
        <v>1970779.08</v>
      </c>
      <c r="J45" s="204"/>
    </row>
    <row r="46" spans="2:12" ht="13.8" thickTop="1"/>
    <row r="48" spans="2:12" ht="13.8">
      <c r="B48" s="1130" t="s">
        <v>595</v>
      </c>
      <c r="C48" s="1130"/>
      <c r="D48" s="1130"/>
      <c r="E48" s="1130"/>
      <c r="F48" s="1130"/>
      <c r="G48" s="1130"/>
      <c r="H48" s="1130"/>
      <c r="I48" s="1130"/>
    </row>
  </sheetData>
  <sheetProtection algorithmName="SHA-512" hashValue="9r0QPRXdm/Ezm0NU8ghdUgtcz0jYixLpWWnnXVxvG9kdhJ5jF/M/FNf2Vd63TGLngZzcdPGvcWxeVAzsgK4zTA==" saltValue="rOX6Do76m9qj96+C113MVQ==" spinCount="100000" sheet="1" objects="1" scenarios="1"/>
  <mergeCells count="7">
    <mergeCell ref="B48:I48"/>
    <mergeCell ref="B3:I3"/>
    <mergeCell ref="B4:I4"/>
    <mergeCell ref="B6:I6"/>
    <mergeCell ref="B9:G9"/>
    <mergeCell ref="I17:I18"/>
    <mergeCell ref="H17:H18"/>
  </mergeCells>
  <phoneticPr fontId="0" type="noConversion"/>
  <pageMargins left="0.25" right="0.25" top="0.5" bottom="0.5" header="0.25" footer="0.25"/>
  <pageSetup paperSize="5"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7"/>
  <dimension ref="B3:N55"/>
  <sheetViews>
    <sheetView topLeftCell="A18" zoomScaleNormal="100" workbookViewId="0">
      <selection activeCell="G40" sqref="G40"/>
    </sheetView>
  </sheetViews>
  <sheetFormatPr defaultRowHeight="13.2"/>
  <cols>
    <col min="1" max="3" width="4.6640625" customWidth="1"/>
    <col min="4" max="4" width="12.33203125" customWidth="1"/>
    <col min="5" max="5" width="22.6640625" customWidth="1"/>
    <col min="6" max="6" width="25.88671875" customWidth="1"/>
    <col min="8" max="8" width="16.6640625" customWidth="1"/>
    <col min="9" max="9" width="11.44140625" bestFit="1" customWidth="1"/>
    <col min="10" max="10" width="10.33203125" bestFit="1" customWidth="1"/>
    <col min="11" max="11" width="10.88671875" bestFit="1" customWidth="1"/>
    <col min="13" max="13" width="12.44140625" style="61" bestFit="1" customWidth="1"/>
    <col min="14" max="14" width="10.44140625" style="61" bestFit="1" customWidth="1"/>
  </cols>
  <sheetData>
    <row r="3" spans="2:11" ht="22.8">
      <c r="B3" s="1176" t="s">
        <v>597</v>
      </c>
      <c r="C3" s="1176"/>
      <c r="D3" s="1176"/>
      <c r="E3" s="1176"/>
      <c r="F3" s="1176"/>
      <c r="G3" s="1176"/>
      <c r="H3" s="1176"/>
    </row>
    <row r="4" spans="2:11" ht="22.8">
      <c r="B4" s="1176" t="s">
        <v>598</v>
      </c>
      <c r="C4" s="1176"/>
      <c r="D4" s="1176"/>
      <c r="E4" s="1176"/>
      <c r="F4" s="1176"/>
      <c r="G4" s="1176"/>
      <c r="H4" s="1176"/>
    </row>
    <row r="5" spans="2:11" ht="15.6">
      <c r="B5" s="274"/>
      <c r="C5" s="274"/>
      <c r="D5" s="274"/>
      <c r="E5" s="274"/>
      <c r="F5" s="274"/>
      <c r="G5" s="274"/>
      <c r="H5" s="274"/>
    </row>
    <row r="6" spans="2:11" ht="8.25" customHeight="1" thickBot="1">
      <c r="B6" s="10"/>
      <c r="C6" s="10"/>
      <c r="D6" s="10"/>
      <c r="E6" s="10"/>
      <c r="F6" s="10"/>
      <c r="G6" s="10"/>
      <c r="H6" s="10"/>
    </row>
    <row r="7" spans="2:11" ht="32.1" customHeight="1" thickTop="1" thickBot="1">
      <c r="B7" s="1236" t="s">
        <v>165</v>
      </c>
      <c r="C7" s="1236"/>
      <c r="D7" s="1236"/>
      <c r="E7" s="1236"/>
      <c r="F7" s="1236"/>
      <c r="G7" s="1236"/>
      <c r="H7" s="77" t="s">
        <v>596</v>
      </c>
    </row>
    <row r="8" spans="2:11" ht="21.9" customHeight="1" thickTop="1">
      <c r="B8" s="420"/>
      <c r="C8" s="488"/>
      <c r="D8" s="420"/>
      <c r="E8" s="420"/>
      <c r="F8" s="420"/>
      <c r="G8" s="420"/>
      <c r="H8" s="436"/>
    </row>
    <row r="9" spans="2:11" ht="21.9" customHeight="1">
      <c r="B9" s="417"/>
      <c r="C9" s="418"/>
      <c r="D9" s="417"/>
      <c r="E9" s="417"/>
      <c r="F9" s="417"/>
      <c r="G9" s="417"/>
      <c r="H9" s="419"/>
      <c r="I9" s="204"/>
      <c r="J9" s="239"/>
      <c r="K9" s="204"/>
    </row>
    <row r="10" spans="2:11" ht="21.9" customHeight="1">
      <c r="B10" s="417"/>
      <c r="C10" s="418"/>
      <c r="D10" s="417"/>
      <c r="E10" s="417"/>
      <c r="F10" s="417"/>
      <c r="G10" s="417"/>
      <c r="H10" s="419"/>
      <c r="I10" s="204"/>
      <c r="J10" s="239"/>
      <c r="K10" s="204"/>
    </row>
    <row r="11" spans="2:11" ht="21.9" customHeight="1">
      <c r="B11" s="417"/>
      <c r="C11" s="418"/>
      <c r="D11" s="417"/>
      <c r="E11" s="417"/>
      <c r="F11" s="417"/>
      <c r="G11" s="417"/>
      <c r="H11" s="419"/>
      <c r="I11" s="204"/>
      <c r="J11" s="239"/>
      <c r="K11" s="204"/>
    </row>
    <row r="12" spans="2:11" ht="21.9" customHeight="1">
      <c r="B12" s="417"/>
      <c r="C12" s="418"/>
      <c r="D12" s="417"/>
      <c r="E12" s="417"/>
      <c r="F12" s="417"/>
      <c r="G12" s="417"/>
      <c r="H12" s="419"/>
      <c r="I12" s="204"/>
      <c r="K12" s="204"/>
    </row>
    <row r="13" spans="2:11" ht="21.9" customHeight="1">
      <c r="B13" s="417"/>
      <c r="C13" s="418"/>
      <c r="D13" s="417"/>
      <c r="E13" s="417"/>
      <c r="F13" s="417"/>
      <c r="G13" s="417"/>
      <c r="H13" s="419"/>
      <c r="I13" s="204"/>
      <c r="J13" s="239"/>
      <c r="K13" s="204"/>
    </row>
    <row r="14" spans="2:11" ht="21.9" customHeight="1">
      <c r="B14" s="417"/>
      <c r="C14" s="418"/>
      <c r="D14" s="417"/>
      <c r="E14" s="417"/>
      <c r="F14" s="417"/>
      <c r="G14" s="417"/>
      <c r="H14" s="419"/>
      <c r="I14" s="204"/>
      <c r="J14" s="239"/>
      <c r="K14" s="204"/>
    </row>
    <row r="15" spans="2:11" ht="21.9" customHeight="1">
      <c r="B15" s="417"/>
      <c r="C15" s="418"/>
      <c r="D15" s="417"/>
      <c r="E15" s="417"/>
      <c r="F15" s="417"/>
      <c r="G15" s="417"/>
      <c r="H15" s="419"/>
      <c r="I15" s="204"/>
      <c r="J15" s="239"/>
      <c r="K15" s="204"/>
    </row>
    <row r="16" spans="2:11" ht="21.9" customHeight="1">
      <c r="B16" s="417"/>
      <c r="C16" s="417"/>
      <c r="D16" s="417"/>
      <c r="E16" s="417"/>
      <c r="F16" s="417"/>
      <c r="G16" s="417"/>
      <c r="H16" s="419"/>
      <c r="I16" s="204"/>
      <c r="J16" s="239"/>
      <c r="K16" s="204"/>
    </row>
    <row r="17" spans="2:14" ht="21.9" customHeight="1">
      <c r="B17" s="417"/>
      <c r="C17" s="417"/>
      <c r="D17" s="417"/>
      <c r="E17" s="417"/>
      <c r="F17" s="417"/>
      <c r="G17" s="417"/>
      <c r="H17" s="419"/>
      <c r="I17" s="204"/>
      <c r="J17" s="239"/>
      <c r="K17" s="204"/>
    </row>
    <row r="18" spans="2:14" ht="21.9" customHeight="1">
      <c r="B18" s="417"/>
      <c r="C18" s="417"/>
      <c r="D18" s="417"/>
      <c r="E18" s="417"/>
      <c r="F18" s="417"/>
      <c r="G18" s="417"/>
      <c r="H18" s="419"/>
      <c r="J18" s="239"/>
      <c r="K18" s="204"/>
    </row>
    <row r="19" spans="2:14" ht="21.9" customHeight="1">
      <c r="B19" s="417"/>
      <c r="C19" s="417"/>
      <c r="D19" s="417"/>
      <c r="E19" s="417"/>
      <c r="F19" s="417"/>
      <c r="G19" s="417"/>
      <c r="H19" s="419"/>
      <c r="J19" s="239"/>
      <c r="K19" s="204"/>
    </row>
    <row r="20" spans="2:14" ht="21.9" customHeight="1">
      <c r="B20" s="417"/>
      <c r="C20" s="417"/>
      <c r="D20" s="417"/>
      <c r="E20" s="417"/>
      <c r="F20" s="417"/>
      <c r="G20" s="417"/>
      <c r="H20" s="419"/>
      <c r="K20" s="204"/>
    </row>
    <row r="21" spans="2:14" ht="21.9" customHeight="1">
      <c r="B21" s="417"/>
      <c r="C21" s="417"/>
      <c r="D21" s="417"/>
      <c r="E21" s="417"/>
      <c r="F21" s="417"/>
      <c r="G21" s="417"/>
      <c r="H21" s="419"/>
      <c r="K21" s="204"/>
    </row>
    <row r="22" spans="2:14" ht="21.9" customHeight="1">
      <c r="B22" s="417"/>
      <c r="C22" s="417"/>
      <c r="D22" s="417"/>
      <c r="E22" s="417"/>
      <c r="F22" s="417"/>
      <c r="G22" s="417"/>
      <c r="H22" s="419"/>
      <c r="J22" s="239"/>
      <c r="K22" s="204"/>
    </row>
    <row r="23" spans="2:14" ht="21.9" customHeight="1">
      <c r="B23" s="417"/>
      <c r="C23" s="417"/>
      <c r="D23" s="417"/>
      <c r="E23" s="417"/>
      <c r="F23" s="417"/>
      <c r="G23" s="417"/>
      <c r="H23" s="419"/>
      <c r="J23" s="239"/>
      <c r="K23" s="204"/>
    </row>
    <row r="24" spans="2:14" ht="21.9" customHeight="1">
      <c r="B24" s="417"/>
      <c r="C24" s="417"/>
      <c r="D24" s="417"/>
      <c r="E24" s="417"/>
      <c r="F24" s="417"/>
      <c r="G24" s="417"/>
      <c r="H24" s="419"/>
      <c r="J24" s="239"/>
      <c r="K24" s="204"/>
    </row>
    <row r="25" spans="2:14" ht="21.9" customHeight="1">
      <c r="B25" s="417"/>
      <c r="C25" s="417"/>
      <c r="D25" s="417"/>
      <c r="E25" s="417"/>
      <c r="F25" s="417"/>
      <c r="G25" s="417"/>
      <c r="H25" s="419"/>
      <c r="J25" s="239"/>
      <c r="K25" s="204"/>
    </row>
    <row r="26" spans="2:14" ht="21.9" customHeight="1">
      <c r="B26" s="417"/>
      <c r="C26" s="417"/>
      <c r="D26" s="417"/>
      <c r="E26" s="417"/>
      <c r="F26" s="417"/>
      <c r="G26" s="417"/>
      <c r="H26" s="419"/>
      <c r="J26" s="239"/>
      <c r="K26" s="204"/>
    </row>
    <row r="27" spans="2:14" ht="21.9" customHeight="1">
      <c r="B27" s="417"/>
      <c r="C27" s="417"/>
      <c r="D27" s="417"/>
      <c r="E27" s="417"/>
      <c r="F27" s="417"/>
      <c r="G27" s="417"/>
      <c r="H27" s="419"/>
      <c r="K27" s="204"/>
    </row>
    <row r="28" spans="2:14" ht="21.9" customHeight="1">
      <c r="B28" s="417"/>
      <c r="C28" s="417"/>
      <c r="D28" s="417"/>
      <c r="E28" s="417"/>
      <c r="F28" s="417"/>
      <c r="G28" s="417"/>
      <c r="H28" s="419"/>
      <c r="K28" s="204"/>
    </row>
    <row r="29" spans="2:14" ht="21.9" customHeight="1">
      <c r="B29" s="417"/>
      <c r="C29" s="417"/>
      <c r="D29" s="417"/>
      <c r="E29" s="417"/>
      <c r="F29" s="417"/>
      <c r="G29" s="417"/>
      <c r="H29" s="419"/>
      <c r="J29" s="239"/>
      <c r="K29" s="204"/>
    </row>
    <row r="30" spans="2:14" ht="21.9" customHeight="1">
      <c r="B30" s="417"/>
      <c r="C30" s="417"/>
      <c r="D30" s="417"/>
      <c r="E30" s="417"/>
      <c r="F30" s="417"/>
      <c r="G30" s="417"/>
      <c r="H30" s="419"/>
      <c r="K30" s="204"/>
    </row>
    <row r="31" spans="2:14" ht="21.9" customHeight="1">
      <c r="B31" s="417"/>
      <c r="C31" s="417"/>
      <c r="D31" s="417"/>
      <c r="E31" s="417"/>
      <c r="F31" s="417"/>
      <c r="G31" s="417"/>
      <c r="H31" s="419"/>
      <c r="J31" s="239"/>
      <c r="K31" s="204"/>
    </row>
    <row r="32" spans="2:14" ht="21.9" customHeight="1">
      <c r="B32" s="417"/>
      <c r="C32" s="417"/>
      <c r="D32" s="417"/>
      <c r="E32" s="417"/>
      <c r="F32" s="417"/>
      <c r="G32" s="417"/>
      <c r="H32" s="419"/>
      <c r="K32" s="204"/>
      <c r="M32"/>
      <c r="N32" s="204"/>
    </row>
    <row r="33" spans="2:11" ht="21.9" customHeight="1">
      <c r="B33" s="417"/>
      <c r="C33" s="417"/>
      <c r="D33" s="417"/>
      <c r="E33" s="417"/>
      <c r="F33" s="417"/>
      <c r="G33" s="417"/>
      <c r="H33" s="419"/>
      <c r="J33" s="273"/>
      <c r="K33" s="204"/>
    </row>
    <row r="34" spans="2:11" ht="21.9" customHeight="1">
      <c r="B34" s="417"/>
      <c r="C34" s="417"/>
      <c r="D34" s="417"/>
      <c r="E34" s="417"/>
      <c r="F34" s="417"/>
      <c r="G34" s="417"/>
      <c r="H34" s="419"/>
      <c r="J34" s="273"/>
      <c r="K34" s="204"/>
    </row>
    <row r="35" spans="2:11" ht="21.9" customHeight="1">
      <c r="B35" s="417"/>
      <c r="C35" s="417"/>
      <c r="D35" s="417"/>
      <c r="E35" s="417"/>
      <c r="F35" s="417"/>
      <c r="G35" s="417"/>
      <c r="H35" s="419"/>
      <c r="J35" s="273"/>
      <c r="K35" s="204"/>
    </row>
    <row r="36" spans="2:11" ht="21.9" customHeight="1">
      <c r="B36" s="417"/>
      <c r="C36" s="417"/>
      <c r="D36" s="417"/>
      <c r="E36" s="417"/>
      <c r="F36" s="417"/>
      <c r="G36" s="417"/>
      <c r="H36" s="419"/>
      <c r="J36" s="273"/>
      <c r="K36" s="204"/>
    </row>
    <row r="37" spans="2:11" ht="21.9" customHeight="1">
      <c r="B37" s="417"/>
      <c r="C37" s="417"/>
      <c r="D37" s="417"/>
      <c r="E37" s="417"/>
      <c r="F37" s="417"/>
      <c r="G37" s="417"/>
      <c r="H37" s="419"/>
      <c r="K37" s="204"/>
    </row>
    <row r="38" spans="2:11" ht="21.9" customHeight="1">
      <c r="B38" s="417"/>
      <c r="C38" s="417"/>
      <c r="D38" s="417"/>
      <c r="E38" s="417"/>
      <c r="F38" s="417"/>
      <c r="G38" s="417"/>
      <c r="H38" s="419"/>
      <c r="K38" s="204"/>
    </row>
    <row r="39" spans="2:11" ht="21.9" customHeight="1">
      <c r="B39" s="417"/>
      <c r="C39" s="417"/>
      <c r="D39" s="417"/>
      <c r="E39" s="417"/>
      <c r="F39" s="417"/>
      <c r="G39" s="417"/>
      <c r="H39" s="419"/>
      <c r="K39" s="204"/>
    </row>
    <row r="40" spans="2:11" ht="21.9" customHeight="1" thickBot="1">
      <c r="B40" s="417"/>
      <c r="C40" s="417"/>
      <c r="D40" s="417"/>
      <c r="E40" s="417"/>
      <c r="F40" s="417"/>
      <c r="G40" s="417"/>
      <c r="H40" s="437"/>
    </row>
    <row r="41" spans="2:11" ht="21.9" customHeight="1" thickBot="1">
      <c r="B41" s="78" t="s">
        <v>3336</v>
      </c>
      <c r="C41" s="5"/>
      <c r="D41" s="5"/>
      <c r="E41" s="5"/>
      <c r="F41" s="5"/>
      <c r="G41" s="5"/>
      <c r="H41" s="214">
        <f>SUM(H8:H40)</f>
        <v>0</v>
      </c>
      <c r="J41" s="204"/>
    </row>
    <row r="42" spans="2:11" ht="13.8" thickTop="1"/>
    <row r="43" spans="2:11">
      <c r="I43" s="204"/>
    </row>
    <row r="44" spans="2:11">
      <c r="I44" s="204"/>
    </row>
    <row r="45" spans="2:11">
      <c r="I45" s="204"/>
    </row>
    <row r="46" spans="2:11">
      <c r="I46" s="204"/>
    </row>
    <row r="47" spans="2:11" ht="13.8">
      <c r="B47" s="1130" t="s">
        <v>599</v>
      </c>
      <c r="C47" s="1130"/>
      <c r="D47" s="1130"/>
      <c r="E47" s="1130"/>
      <c r="F47" s="1130"/>
      <c r="G47" s="1130"/>
      <c r="H47" s="1130"/>
    </row>
    <row r="48" spans="2:11">
      <c r="I48" s="204"/>
    </row>
    <row r="54" spans="8:8">
      <c r="H54" s="204"/>
    </row>
    <row r="55" spans="8:8">
      <c r="H55" s="204"/>
    </row>
  </sheetData>
  <sheetProtection algorithmName="SHA-512" hashValue="VsOfxcF7xcmZUETcT9eG8yVmW+gJHQdR5KC/X/LCDOp9K7mPvORXzU/V7jBtGF6EoXdnwgIF/FMR4QVjGXNKIw==" saltValue="jxWvmnLPz7LUZFc5ytU9dA==" spinCount="100000" sheet="1" objects="1" scenarios="1"/>
  <sortState xmlns:xlrd2="http://schemas.microsoft.com/office/spreadsheetml/2017/richdata2" ref="C9:H23">
    <sortCondition ref="C9:C23"/>
  </sortState>
  <mergeCells count="4">
    <mergeCell ref="B47:H47"/>
    <mergeCell ref="B3:H3"/>
    <mergeCell ref="B4:H4"/>
    <mergeCell ref="B7:G7"/>
  </mergeCells>
  <phoneticPr fontId="0" type="noConversion"/>
  <conditionalFormatting sqref="J9:J18 J20:J31">
    <cfRule type="cellIs" dxfId="5" priority="4" stopIfTrue="1" operator="equal">
      <formula>0</formula>
    </cfRule>
  </conditionalFormatting>
  <conditionalFormatting sqref="J19">
    <cfRule type="cellIs" dxfId="4" priority="3" stopIfTrue="1" operator="equal">
      <formula>0</formula>
    </cfRule>
  </conditionalFormatting>
  <pageMargins left="0.25" right="0.25" top="0.5" bottom="0.5" header="0.25" footer="0.25"/>
  <pageSetup paperSize="5"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CA3E4-7965-4443-AD52-58281CDF8668}">
  <sheetPr codeName="Sheet118"/>
  <dimension ref="B3:N55"/>
  <sheetViews>
    <sheetView topLeftCell="A18" workbookViewId="0">
      <selection activeCell="G40" sqref="G40"/>
    </sheetView>
  </sheetViews>
  <sheetFormatPr defaultColWidth="9.109375" defaultRowHeight="13.2"/>
  <cols>
    <col min="1" max="3" width="4.6640625" customWidth="1"/>
    <col min="4" max="4" width="12.33203125" customWidth="1"/>
    <col min="5" max="5" width="22.6640625" customWidth="1"/>
    <col min="6" max="6" width="25.88671875" customWidth="1"/>
    <col min="8" max="8" width="16.6640625" customWidth="1"/>
    <col min="9" max="9" width="11.44140625" bestFit="1" customWidth="1"/>
    <col min="10" max="10" width="10.33203125" bestFit="1" customWidth="1"/>
    <col min="11" max="11" width="10.88671875" bestFit="1" customWidth="1"/>
    <col min="13" max="13" width="12.44140625" style="61" bestFit="1" customWidth="1"/>
    <col min="14" max="14" width="10.44140625" style="61" bestFit="1" customWidth="1"/>
  </cols>
  <sheetData>
    <row r="3" spans="2:11" ht="22.8">
      <c r="B3" s="1176" t="s">
        <v>597</v>
      </c>
      <c r="C3" s="1176"/>
      <c r="D3" s="1176"/>
      <c r="E3" s="1176"/>
      <c r="F3" s="1176"/>
      <c r="G3" s="1176"/>
      <c r="H3" s="1176"/>
    </row>
    <row r="4" spans="2:11" ht="22.8">
      <c r="B4" s="1176" t="s">
        <v>598</v>
      </c>
      <c r="C4" s="1176"/>
      <c r="D4" s="1176"/>
      <c r="E4" s="1176"/>
      <c r="F4" s="1176"/>
      <c r="G4" s="1176"/>
      <c r="H4" s="1176"/>
    </row>
    <row r="5" spans="2:11" ht="15.6">
      <c r="B5" s="274"/>
      <c r="C5" s="274"/>
      <c r="D5" s="274"/>
      <c r="E5" s="274"/>
      <c r="F5" s="274"/>
      <c r="G5" s="274"/>
      <c r="H5" s="274"/>
    </row>
    <row r="6" spans="2:11" ht="8.25" customHeight="1" thickBot="1">
      <c r="B6" s="10"/>
      <c r="C6" s="10"/>
      <c r="D6" s="10"/>
      <c r="E6" s="10"/>
      <c r="F6" s="10"/>
      <c r="G6" s="10"/>
      <c r="H6" s="10"/>
    </row>
    <row r="7" spans="2:11" ht="32.1" customHeight="1" thickTop="1" thickBot="1">
      <c r="B7" s="1236" t="s">
        <v>165</v>
      </c>
      <c r="C7" s="1236"/>
      <c r="D7" s="1236"/>
      <c r="E7" s="1236"/>
      <c r="F7" s="1236"/>
      <c r="G7" s="1236"/>
      <c r="H7" s="77" t="s">
        <v>596</v>
      </c>
    </row>
    <row r="8" spans="2:11" ht="21.9" customHeight="1" thickTop="1">
      <c r="B8" s="22"/>
      <c r="C8" s="603" t="s">
        <v>3263</v>
      </c>
      <c r="D8" s="22"/>
      <c r="E8" s="22"/>
      <c r="F8" s="22"/>
      <c r="G8" s="22"/>
      <c r="H8" s="655">
        <f>+'20-Misc Rev Not Ant'!H41</f>
        <v>0</v>
      </c>
    </row>
    <row r="9" spans="2:11" ht="21.9" customHeight="1">
      <c r="B9" s="417"/>
      <c r="C9" s="418"/>
      <c r="D9" s="417"/>
      <c r="E9" s="417"/>
      <c r="F9" s="417"/>
      <c r="G9" s="417"/>
      <c r="H9" s="419"/>
      <c r="I9" s="204"/>
      <c r="J9" s="239"/>
      <c r="K9" s="204"/>
    </row>
    <row r="10" spans="2:11" ht="21.9" customHeight="1">
      <c r="B10" s="417"/>
      <c r="C10" s="418"/>
      <c r="D10" s="417"/>
      <c r="E10" s="417"/>
      <c r="F10" s="417"/>
      <c r="G10" s="417"/>
      <c r="H10" s="419"/>
      <c r="I10" s="204"/>
      <c r="J10" s="239"/>
      <c r="K10" s="204"/>
    </row>
    <row r="11" spans="2:11" ht="21.9" customHeight="1">
      <c r="B11" s="417"/>
      <c r="C11" s="418"/>
      <c r="D11" s="417"/>
      <c r="E11" s="417"/>
      <c r="F11" s="417"/>
      <c r="G11" s="417"/>
      <c r="H11" s="419"/>
      <c r="I11" s="204"/>
      <c r="J11" s="239"/>
      <c r="K11" s="204"/>
    </row>
    <row r="12" spans="2:11" ht="21.9" customHeight="1">
      <c r="B12" s="417"/>
      <c r="C12" s="418"/>
      <c r="D12" s="417"/>
      <c r="E12" s="417"/>
      <c r="F12" s="417"/>
      <c r="G12" s="417"/>
      <c r="H12" s="419"/>
      <c r="I12" s="204"/>
      <c r="K12" s="204"/>
    </row>
    <row r="13" spans="2:11" ht="21.9" customHeight="1">
      <c r="B13" s="417"/>
      <c r="C13" s="418"/>
      <c r="D13" s="417"/>
      <c r="E13" s="417"/>
      <c r="F13" s="417"/>
      <c r="G13" s="417"/>
      <c r="H13" s="419"/>
      <c r="I13" s="204"/>
      <c r="J13" s="239"/>
      <c r="K13" s="204"/>
    </row>
    <row r="14" spans="2:11" ht="21.9" customHeight="1">
      <c r="B14" s="417"/>
      <c r="C14" s="418"/>
      <c r="D14" s="417"/>
      <c r="E14" s="417"/>
      <c r="F14" s="417"/>
      <c r="G14" s="417"/>
      <c r="H14" s="419"/>
      <c r="I14" s="204"/>
      <c r="J14" s="239"/>
      <c r="K14" s="204"/>
    </row>
    <row r="15" spans="2:11" ht="21.9" customHeight="1">
      <c r="B15" s="417"/>
      <c r="C15" s="418"/>
      <c r="D15" s="417"/>
      <c r="E15" s="417"/>
      <c r="F15" s="417"/>
      <c r="G15" s="417"/>
      <c r="H15" s="419"/>
      <c r="I15" s="204"/>
      <c r="J15" s="239"/>
      <c r="K15" s="204"/>
    </row>
    <row r="16" spans="2:11" ht="21.9" customHeight="1">
      <c r="B16" s="417"/>
      <c r="C16" s="418"/>
      <c r="D16" s="417"/>
      <c r="E16" s="417"/>
      <c r="F16" s="417"/>
      <c r="G16" s="417"/>
      <c r="H16" s="419"/>
      <c r="I16" s="204"/>
      <c r="J16" s="239"/>
      <c r="K16" s="204"/>
    </row>
    <row r="17" spans="2:14" ht="21.9" customHeight="1">
      <c r="B17" s="417"/>
      <c r="C17" s="417"/>
      <c r="D17" s="417"/>
      <c r="E17" s="417"/>
      <c r="F17" s="417"/>
      <c r="G17" s="417"/>
      <c r="H17" s="419"/>
      <c r="I17" s="204"/>
      <c r="J17" s="239"/>
      <c r="K17" s="204"/>
    </row>
    <row r="18" spans="2:14" ht="21.9" customHeight="1">
      <c r="B18" s="417"/>
      <c r="C18" s="417"/>
      <c r="D18" s="417"/>
      <c r="E18" s="417"/>
      <c r="F18" s="417"/>
      <c r="G18" s="417"/>
      <c r="H18" s="419"/>
      <c r="J18" s="239"/>
      <c r="K18" s="204"/>
    </row>
    <row r="19" spans="2:14" ht="21.9" customHeight="1">
      <c r="B19" s="417"/>
      <c r="C19" s="417"/>
      <c r="D19" s="417"/>
      <c r="E19" s="417"/>
      <c r="F19" s="417"/>
      <c r="G19" s="417"/>
      <c r="H19" s="419"/>
      <c r="J19" s="239"/>
      <c r="K19" s="204"/>
    </row>
    <row r="20" spans="2:14" ht="21.9" customHeight="1">
      <c r="B20" s="417"/>
      <c r="C20" s="417"/>
      <c r="D20" s="417"/>
      <c r="E20" s="417"/>
      <c r="F20" s="417"/>
      <c r="G20" s="417"/>
      <c r="H20" s="419"/>
      <c r="K20" s="204"/>
    </row>
    <row r="21" spans="2:14" ht="21.9" customHeight="1">
      <c r="B21" s="417"/>
      <c r="C21" s="417"/>
      <c r="D21" s="417"/>
      <c r="E21" s="417"/>
      <c r="F21" s="417"/>
      <c r="G21" s="417"/>
      <c r="H21" s="419"/>
      <c r="K21" s="204"/>
    </row>
    <row r="22" spans="2:14" ht="21.9" customHeight="1">
      <c r="B22" s="417"/>
      <c r="C22" s="417"/>
      <c r="D22" s="417"/>
      <c r="E22" s="417"/>
      <c r="F22" s="417"/>
      <c r="G22" s="417"/>
      <c r="H22" s="419"/>
      <c r="J22" s="239"/>
      <c r="K22" s="204"/>
    </row>
    <row r="23" spans="2:14" ht="21.9" customHeight="1">
      <c r="B23" s="417"/>
      <c r="C23" s="417"/>
      <c r="D23" s="417"/>
      <c r="E23" s="417"/>
      <c r="F23" s="417"/>
      <c r="G23" s="417"/>
      <c r="H23" s="419"/>
      <c r="J23" s="239"/>
      <c r="K23" s="204"/>
    </row>
    <row r="24" spans="2:14" ht="21.9" customHeight="1">
      <c r="B24" s="417"/>
      <c r="C24" s="417"/>
      <c r="D24" s="417"/>
      <c r="E24" s="417"/>
      <c r="F24" s="417"/>
      <c r="G24" s="417"/>
      <c r="H24" s="419"/>
      <c r="J24" s="239"/>
      <c r="K24" s="204"/>
    </row>
    <row r="25" spans="2:14" ht="21.9" customHeight="1">
      <c r="B25" s="417"/>
      <c r="C25" s="417"/>
      <c r="D25" s="417"/>
      <c r="E25" s="417"/>
      <c r="F25" s="417"/>
      <c r="G25" s="417"/>
      <c r="H25" s="419"/>
      <c r="J25" s="239"/>
      <c r="K25" s="204"/>
    </row>
    <row r="26" spans="2:14" ht="21.9" customHeight="1">
      <c r="B26" s="417"/>
      <c r="C26" s="417"/>
      <c r="D26" s="417"/>
      <c r="E26" s="417"/>
      <c r="F26" s="417"/>
      <c r="G26" s="417"/>
      <c r="H26" s="419"/>
      <c r="J26" s="239"/>
      <c r="K26" s="204"/>
    </row>
    <row r="27" spans="2:14" ht="21.9" customHeight="1">
      <c r="B27" s="417"/>
      <c r="C27" s="417"/>
      <c r="D27" s="417"/>
      <c r="E27" s="417"/>
      <c r="F27" s="417"/>
      <c r="G27" s="417"/>
      <c r="H27" s="419"/>
      <c r="K27" s="204"/>
    </row>
    <row r="28" spans="2:14" ht="21.9" customHeight="1">
      <c r="B28" s="417"/>
      <c r="C28" s="417"/>
      <c r="D28" s="417"/>
      <c r="E28" s="417"/>
      <c r="F28" s="417"/>
      <c r="G28" s="417"/>
      <c r="H28" s="419"/>
      <c r="K28" s="204"/>
    </row>
    <row r="29" spans="2:14" ht="21.9" customHeight="1">
      <c r="B29" s="417"/>
      <c r="C29" s="417"/>
      <c r="D29" s="417"/>
      <c r="E29" s="417"/>
      <c r="F29" s="417"/>
      <c r="G29" s="417"/>
      <c r="H29" s="419"/>
      <c r="J29" s="239"/>
      <c r="K29" s="204"/>
    </row>
    <row r="30" spans="2:14" ht="21.9" customHeight="1">
      <c r="B30" s="417"/>
      <c r="C30" s="417"/>
      <c r="D30" s="417"/>
      <c r="E30" s="417"/>
      <c r="F30" s="417"/>
      <c r="G30" s="417"/>
      <c r="H30" s="419"/>
      <c r="K30" s="204"/>
    </row>
    <row r="31" spans="2:14" ht="21.9" customHeight="1">
      <c r="B31" s="417"/>
      <c r="C31" s="417"/>
      <c r="D31" s="417"/>
      <c r="E31" s="417"/>
      <c r="F31" s="417"/>
      <c r="G31" s="417"/>
      <c r="H31" s="419"/>
      <c r="J31" s="239"/>
      <c r="K31" s="204"/>
    </row>
    <row r="32" spans="2:14" ht="21.9" customHeight="1">
      <c r="B32" s="417"/>
      <c r="C32" s="417"/>
      <c r="D32" s="417"/>
      <c r="E32" s="417"/>
      <c r="F32" s="417"/>
      <c r="G32" s="417"/>
      <c r="H32" s="419"/>
      <c r="K32" s="204"/>
      <c r="M32"/>
      <c r="N32" s="204"/>
    </row>
    <row r="33" spans="2:11" ht="21.9" customHeight="1">
      <c r="B33" s="417"/>
      <c r="C33" s="417"/>
      <c r="D33" s="417"/>
      <c r="E33" s="417"/>
      <c r="F33" s="417"/>
      <c r="G33" s="417"/>
      <c r="H33" s="419"/>
      <c r="J33" s="273"/>
      <c r="K33" s="204"/>
    </row>
    <row r="34" spans="2:11" ht="21.9" customHeight="1">
      <c r="B34" s="417"/>
      <c r="C34" s="417"/>
      <c r="D34" s="417"/>
      <c r="E34" s="417"/>
      <c r="F34" s="417"/>
      <c r="G34" s="417"/>
      <c r="H34" s="419"/>
      <c r="J34" s="273"/>
      <c r="K34" s="204"/>
    </row>
    <row r="35" spans="2:11" ht="21.9" customHeight="1">
      <c r="B35" s="417"/>
      <c r="C35" s="417"/>
      <c r="D35" s="417"/>
      <c r="E35" s="417"/>
      <c r="F35" s="417"/>
      <c r="G35" s="417"/>
      <c r="H35" s="419"/>
      <c r="J35" s="273"/>
      <c r="K35" s="204"/>
    </row>
    <row r="36" spans="2:11" ht="21.9" customHeight="1">
      <c r="B36" s="417"/>
      <c r="C36" s="417"/>
      <c r="D36" s="417"/>
      <c r="E36" s="417"/>
      <c r="F36" s="417"/>
      <c r="G36" s="417"/>
      <c r="H36" s="419"/>
      <c r="J36" s="273"/>
      <c r="K36" s="204"/>
    </row>
    <row r="37" spans="2:11" ht="21.9" customHeight="1">
      <c r="B37" s="417"/>
      <c r="C37" s="417"/>
      <c r="D37" s="417"/>
      <c r="E37" s="417"/>
      <c r="F37" s="417"/>
      <c r="G37" s="417"/>
      <c r="H37" s="419"/>
      <c r="K37" s="204"/>
    </row>
    <row r="38" spans="2:11" ht="21.9" customHeight="1">
      <c r="B38" s="417"/>
      <c r="C38" s="417"/>
      <c r="D38" s="417"/>
      <c r="E38" s="417"/>
      <c r="F38" s="417"/>
      <c r="G38" s="417"/>
      <c r="H38" s="419"/>
      <c r="K38" s="204"/>
    </row>
    <row r="39" spans="2:11" ht="21.9" customHeight="1">
      <c r="B39" s="417"/>
      <c r="C39" s="417"/>
      <c r="D39" s="417"/>
      <c r="E39" s="417"/>
      <c r="F39" s="417"/>
      <c r="G39" s="417"/>
      <c r="H39" s="419"/>
      <c r="K39" s="204"/>
    </row>
    <row r="40" spans="2:11" ht="21.9" customHeight="1" thickBot="1">
      <c r="B40" s="417"/>
      <c r="C40" s="417"/>
      <c r="D40" s="417"/>
      <c r="E40" s="417"/>
      <c r="F40" s="417"/>
      <c r="G40" s="417"/>
      <c r="H40" s="437"/>
    </row>
    <row r="41" spans="2:11" ht="21.9" customHeight="1" thickBot="1">
      <c r="B41" s="78" t="s">
        <v>3336</v>
      </c>
      <c r="C41" s="5"/>
      <c r="D41" s="5"/>
      <c r="E41" s="5"/>
      <c r="F41" s="5"/>
      <c r="G41" s="5"/>
      <c r="H41" s="214">
        <f>SUM(H8:H40)</f>
        <v>0</v>
      </c>
      <c r="J41" s="204"/>
    </row>
    <row r="42" spans="2:11" ht="13.8" thickTop="1"/>
    <row r="43" spans="2:11">
      <c r="I43" s="204"/>
    </row>
    <row r="44" spans="2:11">
      <c r="I44" s="204"/>
    </row>
    <row r="45" spans="2:11">
      <c r="I45" s="204"/>
    </row>
    <row r="46" spans="2:11">
      <c r="I46" s="204"/>
    </row>
    <row r="47" spans="2:11" ht="13.8">
      <c r="B47" s="1130" t="s">
        <v>3335</v>
      </c>
      <c r="C47" s="1130"/>
      <c r="D47" s="1130"/>
      <c r="E47" s="1130"/>
      <c r="F47" s="1130"/>
      <c r="G47" s="1130"/>
      <c r="H47" s="1130"/>
    </row>
    <row r="48" spans="2:11">
      <c r="I48" s="204"/>
    </row>
    <row r="54" spans="8:8">
      <c r="H54" s="204"/>
    </row>
    <row r="55" spans="8:8">
      <c r="H55" s="204"/>
    </row>
  </sheetData>
  <sheetProtection password="CAF9" sheet="1" objects="1" scenarios="1"/>
  <mergeCells count="4">
    <mergeCell ref="B3:H3"/>
    <mergeCell ref="B4:H4"/>
    <mergeCell ref="B7:G7"/>
    <mergeCell ref="B47:H47"/>
  </mergeCells>
  <conditionalFormatting sqref="J9:J18 J20:J31">
    <cfRule type="cellIs" dxfId="3" priority="2" stopIfTrue="1" operator="equal">
      <formula>0</formula>
    </cfRule>
  </conditionalFormatting>
  <conditionalFormatting sqref="J19">
    <cfRule type="cellIs" dxfId="2" priority="1" stopIfTrue="1" operator="equal">
      <formula>0</formula>
    </cfRule>
  </conditionalFormatting>
  <pageMargins left="0.25" right="0.25" top="0.5" bottom="0.5" header="0.25" footer="0.25"/>
  <pageSetup paperSize="5"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02629-37DE-4574-B05C-4C06BB5D14D6}">
  <sheetPr codeName="Sheet119"/>
  <dimension ref="B3:N55"/>
  <sheetViews>
    <sheetView topLeftCell="A5" workbookViewId="0">
      <selection activeCell="H18" sqref="H18"/>
    </sheetView>
  </sheetViews>
  <sheetFormatPr defaultColWidth="9.109375" defaultRowHeight="13.2"/>
  <cols>
    <col min="1" max="3" width="4.6640625" customWidth="1"/>
    <col min="4" max="4" width="12.33203125" customWidth="1"/>
    <col min="5" max="5" width="22.6640625" customWidth="1"/>
    <col min="6" max="6" width="25.88671875" customWidth="1"/>
    <col min="8" max="8" width="16.6640625" customWidth="1"/>
    <col min="9" max="9" width="11.44140625" bestFit="1" customWidth="1"/>
    <col min="10" max="10" width="10.33203125" bestFit="1" customWidth="1"/>
    <col min="11" max="11" width="10.88671875" bestFit="1" customWidth="1"/>
    <col min="13" max="13" width="12.44140625" style="61" bestFit="1" customWidth="1"/>
    <col min="14" max="14" width="10.44140625" style="61" bestFit="1" customWidth="1"/>
  </cols>
  <sheetData>
    <row r="3" spans="2:11" ht="22.8">
      <c r="B3" s="1176" t="s">
        <v>597</v>
      </c>
      <c r="C3" s="1176"/>
      <c r="D3" s="1176"/>
      <c r="E3" s="1176"/>
      <c r="F3" s="1176"/>
      <c r="G3" s="1176"/>
      <c r="H3" s="1176"/>
    </row>
    <row r="4" spans="2:11" ht="22.8">
      <c r="B4" s="1176" t="s">
        <v>598</v>
      </c>
      <c r="C4" s="1176"/>
      <c r="D4" s="1176"/>
      <c r="E4" s="1176"/>
      <c r="F4" s="1176"/>
      <c r="G4" s="1176"/>
      <c r="H4" s="1176"/>
    </row>
    <row r="5" spans="2:11" ht="15.6">
      <c r="B5" s="274"/>
      <c r="C5" s="274"/>
      <c r="D5" s="274"/>
      <c r="E5" s="274"/>
      <c r="F5" s="274"/>
      <c r="G5" s="274"/>
      <c r="H5" s="274"/>
    </row>
    <row r="6" spans="2:11" ht="8.25" customHeight="1" thickBot="1">
      <c r="B6" s="10"/>
      <c r="C6" s="10"/>
      <c r="D6" s="10"/>
      <c r="E6" s="10"/>
      <c r="F6" s="10"/>
      <c r="G6" s="10"/>
      <c r="H6" s="10"/>
    </row>
    <row r="7" spans="2:11" ht="32.1" customHeight="1" thickTop="1" thickBot="1">
      <c r="B7" s="1236" t="s">
        <v>165</v>
      </c>
      <c r="C7" s="1236"/>
      <c r="D7" s="1236"/>
      <c r="E7" s="1236"/>
      <c r="F7" s="1236"/>
      <c r="G7" s="1236"/>
      <c r="H7" s="77" t="s">
        <v>596</v>
      </c>
    </row>
    <row r="8" spans="2:11" ht="21.9" customHeight="1" thickTop="1">
      <c r="B8" s="22"/>
      <c r="C8" s="603" t="s">
        <v>3263</v>
      </c>
      <c r="D8" s="22"/>
      <c r="E8" s="22"/>
      <c r="F8" s="22"/>
      <c r="G8" s="22"/>
      <c r="H8" s="655">
        <f>+'20.1-Misc Rev Not Ant'!H41</f>
        <v>0</v>
      </c>
    </row>
    <row r="9" spans="2:11" ht="21.9" customHeight="1">
      <c r="B9" s="418" t="s">
        <v>3731</v>
      </c>
      <c r="C9" s="418"/>
      <c r="D9" s="417"/>
      <c r="E9" s="417"/>
      <c r="F9" s="417"/>
      <c r="G9" s="417"/>
      <c r="H9" s="419">
        <v>44120.31</v>
      </c>
      <c r="I9" s="204"/>
      <c r="J9" s="239"/>
      <c r="K9" s="204"/>
    </row>
    <row r="10" spans="2:11" ht="21.9" customHeight="1">
      <c r="B10" s="418" t="s">
        <v>3732</v>
      </c>
      <c r="C10" s="418"/>
      <c r="D10" s="417"/>
      <c r="E10" s="417"/>
      <c r="F10" s="417"/>
      <c r="G10" s="417"/>
      <c r="H10" s="419">
        <v>5189</v>
      </c>
      <c r="I10" s="204"/>
      <c r="J10" s="239"/>
      <c r="K10" s="204"/>
    </row>
    <row r="11" spans="2:11" ht="21.9" customHeight="1">
      <c r="B11" s="418" t="s">
        <v>3733</v>
      </c>
      <c r="C11" s="418"/>
      <c r="D11" s="417"/>
      <c r="E11" s="417"/>
      <c r="F11" s="417"/>
      <c r="G11" s="417"/>
      <c r="H11" s="419">
        <v>10</v>
      </c>
      <c r="I11" s="204"/>
      <c r="J11" s="239"/>
      <c r="K11" s="204"/>
    </row>
    <row r="12" spans="2:11" ht="21.9" customHeight="1">
      <c r="B12" s="418" t="s">
        <v>3734</v>
      </c>
      <c r="C12" s="418"/>
      <c r="D12" s="417"/>
      <c r="E12" s="417"/>
      <c r="F12" s="417"/>
      <c r="G12" s="417"/>
      <c r="H12" s="419">
        <v>675</v>
      </c>
      <c r="I12" s="204"/>
      <c r="K12" s="204"/>
    </row>
    <row r="13" spans="2:11" ht="21.9" customHeight="1">
      <c r="B13" s="418" t="s">
        <v>3735</v>
      </c>
      <c r="C13" s="418"/>
      <c r="D13" s="417"/>
      <c r="E13" s="417"/>
      <c r="F13" s="417"/>
      <c r="G13" s="417"/>
      <c r="H13" s="419">
        <v>12</v>
      </c>
      <c r="I13" s="204"/>
      <c r="J13" s="239"/>
      <c r="K13" s="204"/>
    </row>
    <row r="14" spans="2:11" ht="21.9" customHeight="1">
      <c r="B14" s="418" t="s">
        <v>3736</v>
      </c>
      <c r="C14" s="418"/>
      <c r="D14" s="417"/>
      <c r="E14" s="417"/>
      <c r="F14" s="417"/>
      <c r="G14" s="417"/>
      <c r="H14" s="419">
        <v>100</v>
      </c>
      <c r="I14" s="204"/>
      <c r="J14" s="239"/>
      <c r="K14" s="204"/>
    </row>
    <row r="15" spans="2:11" ht="21.9" customHeight="1">
      <c r="B15" s="418" t="s">
        <v>3737</v>
      </c>
      <c r="C15" s="418"/>
      <c r="D15" s="417"/>
      <c r="E15" s="417"/>
      <c r="F15" s="417"/>
      <c r="G15" s="417"/>
      <c r="H15" s="419">
        <v>4648.4799999999996</v>
      </c>
      <c r="I15" s="204"/>
      <c r="J15" s="239"/>
      <c r="K15" s="204"/>
    </row>
    <row r="16" spans="2:11" ht="21.9" customHeight="1">
      <c r="B16" s="418" t="s">
        <v>3738</v>
      </c>
      <c r="C16" s="418"/>
      <c r="D16" s="417"/>
      <c r="E16" s="417"/>
      <c r="F16" s="417"/>
      <c r="G16" s="417"/>
      <c r="H16" s="419">
        <v>135</v>
      </c>
      <c r="I16" s="204"/>
      <c r="J16" s="239"/>
      <c r="K16" s="204"/>
    </row>
    <row r="17" spans="2:14" ht="21.9" customHeight="1">
      <c r="B17" s="418" t="s">
        <v>3739</v>
      </c>
      <c r="C17" s="417"/>
      <c r="D17" s="417"/>
      <c r="E17" s="417"/>
      <c r="F17" s="417"/>
      <c r="G17" s="417"/>
      <c r="H17" s="419">
        <f>91770.25-20828.15</f>
        <v>70942.100000000006</v>
      </c>
      <c r="I17" s="204"/>
      <c r="J17" s="239"/>
      <c r="K17" s="204"/>
    </row>
    <row r="18" spans="2:14" ht="21.9" customHeight="1">
      <c r="B18" s="417"/>
      <c r="C18" s="417"/>
      <c r="D18" s="417"/>
      <c r="E18" s="417"/>
      <c r="F18" s="417"/>
      <c r="G18" s="417"/>
      <c r="H18" s="419"/>
      <c r="J18" s="239"/>
      <c r="K18" s="204"/>
    </row>
    <row r="19" spans="2:14" ht="21.9" customHeight="1">
      <c r="B19" s="417"/>
      <c r="C19" s="417"/>
      <c r="D19" s="417"/>
      <c r="E19" s="417"/>
      <c r="F19" s="417"/>
      <c r="G19" s="417"/>
      <c r="H19" s="419"/>
      <c r="J19" s="239"/>
      <c r="K19" s="204"/>
    </row>
    <row r="20" spans="2:14" ht="21.9" customHeight="1">
      <c r="B20" s="417"/>
      <c r="C20" s="417"/>
      <c r="D20" s="417"/>
      <c r="E20" s="417"/>
      <c r="F20" s="417"/>
      <c r="G20" s="417"/>
      <c r="H20" s="419"/>
      <c r="K20" s="204"/>
    </row>
    <row r="21" spans="2:14" ht="21.9" customHeight="1">
      <c r="B21" s="417"/>
      <c r="C21" s="417"/>
      <c r="D21" s="417"/>
      <c r="E21" s="417"/>
      <c r="F21" s="417"/>
      <c r="G21" s="417"/>
      <c r="H21" s="419"/>
      <c r="K21" s="204"/>
    </row>
    <row r="22" spans="2:14" ht="21.9" customHeight="1">
      <c r="B22" s="417"/>
      <c r="C22" s="417"/>
      <c r="D22" s="417"/>
      <c r="E22" s="417"/>
      <c r="F22" s="417"/>
      <c r="G22" s="417"/>
      <c r="H22" s="419"/>
      <c r="J22" s="239"/>
      <c r="K22" s="204"/>
    </row>
    <row r="23" spans="2:14" ht="21.9" customHeight="1">
      <c r="B23" s="417"/>
      <c r="C23" s="417"/>
      <c r="D23" s="417"/>
      <c r="E23" s="417"/>
      <c r="F23" s="417"/>
      <c r="G23" s="417"/>
      <c r="H23" s="419"/>
      <c r="J23" s="239"/>
      <c r="K23" s="204"/>
    </row>
    <row r="24" spans="2:14" ht="21.9" customHeight="1">
      <c r="B24" s="417"/>
      <c r="C24" s="417"/>
      <c r="D24" s="417"/>
      <c r="E24" s="417"/>
      <c r="F24" s="417"/>
      <c r="G24" s="417"/>
      <c r="H24" s="419"/>
      <c r="J24" s="239"/>
      <c r="K24" s="204"/>
    </row>
    <row r="25" spans="2:14" ht="21.9" customHeight="1">
      <c r="B25" s="417"/>
      <c r="C25" s="417"/>
      <c r="D25" s="417"/>
      <c r="E25" s="417"/>
      <c r="F25" s="417"/>
      <c r="G25" s="417"/>
      <c r="H25" s="419"/>
      <c r="J25" s="239"/>
      <c r="K25" s="204"/>
    </row>
    <row r="26" spans="2:14" ht="21.9" customHeight="1">
      <c r="B26" s="417"/>
      <c r="C26" s="417"/>
      <c r="D26" s="417"/>
      <c r="E26" s="417"/>
      <c r="F26" s="417"/>
      <c r="G26" s="417"/>
      <c r="H26" s="419"/>
      <c r="J26" s="239"/>
      <c r="K26" s="204"/>
    </row>
    <row r="27" spans="2:14" ht="21.9" customHeight="1">
      <c r="B27" s="417"/>
      <c r="C27" s="417"/>
      <c r="D27" s="417"/>
      <c r="E27" s="417"/>
      <c r="F27" s="417"/>
      <c r="G27" s="417"/>
      <c r="H27" s="419"/>
      <c r="K27" s="204"/>
    </row>
    <row r="28" spans="2:14" ht="21.9" customHeight="1">
      <c r="B28" s="417"/>
      <c r="C28" s="417"/>
      <c r="D28" s="417"/>
      <c r="E28" s="417"/>
      <c r="F28" s="417"/>
      <c r="G28" s="417"/>
      <c r="H28" s="419"/>
      <c r="K28" s="204"/>
    </row>
    <row r="29" spans="2:14" ht="21.9" customHeight="1">
      <c r="B29" s="417"/>
      <c r="C29" s="417"/>
      <c r="D29" s="417"/>
      <c r="E29" s="417"/>
      <c r="F29" s="417"/>
      <c r="G29" s="417"/>
      <c r="H29" s="419"/>
      <c r="J29" s="239"/>
      <c r="K29" s="204"/>
    </row>
    <row r="30" spans="2:14" ht="21.9" customHeight="1">
      <c r="B30" s="417"/>
      <c r="C30" s="417"/>
      <c r="D30" s="417"/>
      <c r="E30" s="417"/>
      <c r="F30" s="417"/>
      <c r="G30" s="417"/>
      <c r="H30" s="419"/>
      <c r="K30" s="204"/>
    </row>
    <row r="31" spans="2:14" ht="21.9" customHeight="1">
      <c r="B31" s="417"/>
      <c r="C31" s="417"/>
      <c r="D31" s="417"/>
      <c r="E31" s="417"/>
      <c r="F31" s="417"/>
      <c r="G31" s="417"/>
      <c r="H31" s="419"/>
      <c r="J31" s="239"/>
      <c r="K31" s="204"/>
    </row>
    <row r="32" spans="2:14" ht="21.9" customHeight="1">
      <c r="B32" s="417"/>
      <c r="C32" s="417"/>
      <c r="D32" s="417"/>
      <c r="E32" s="417"/>
      <c r="F32" s="417"/>
      <c r="G32" s="417"/>
      <c r="H32" s="419"/>
      <c r="K32" s="204"/>
      <c r="M32"/>
      <c r="N32" s="204"/>
    </row>
    <row r="33" spans="2:11" ht="21.9" customHeight="1">
      <c r="B33" s="417"/>
      <c r="C33" s="417"/>
      <c r="D33" s="417"/>
      <c r="E33" s="417"/>
      <c r="F33" s="417"/>
      <c r="G33" s="417"/>
      <c r="H33" s="419"/>
      <c r="J33" s="273"/>
      <c r="K33" s="204"/>
    </row>
    <row r="34" spans="2:11" ht="21.9" customHeight="1">
      <c r="B34" s="417"/>
      <c r="C34" s="417"/>
      <c r="D34" s="417"/>
      <c r="E34" s="417"/>
      <c r="F34" s="417"/>
      <c r="G34" s="417"/>
      <c r="H34" s="419"/>
      <c r="J34" s="273"/>
      <c r="K34" s="204"/>
    </row>
    <row r="35" spans="2:11" ht="21.9" customHeight="1">
      <c r="B35" s="417"/>
      <c r="C35" s="417"/>
      <c r="D35" s="417"/>
      <c r="E35" s="417"/>
      <c r="F35" s="417"/>
      <c r="G35" s="417"/>
      <c r="H35" s="419"/>
      <c r="J35" s="273"/>
      <c r="K35" s="204"/>
    </row>
    <row r="36" spans="2:11" ht="21.9" customHeight="1">
      <c r="B36" s="417"/>
      <c r="C36" s="417"/>
      <c r="D36" s="417"/>
      <c r="E36" s="417"/>
      <c r="F36" s="417"/>
      <c r="G36" s="417"/>
      <c r="H36" s="419"/>
      <c r="J36" s="273"/>
      <c r="K36" s="204"/>
    </row>
    <row r="37" spans="2:11" ht="21.9" customHeight="1">
      <c r="B37" s="417"/>
      <c r="C37" s="417"/>
      <c r="D37" s="417"/>
      <c r="E37" s="417"/>
      <c r="F37" s="417"/>
      <c r="G37" s="417"/>
      <c r="H37" s="419"/>
      <c r="K37" s="204"/>
    </row>
    <row r="38" spans="2:11" ht="21.9" customHeight="1">
      <c r="B38" s="417"/>
      <c r="C38" s="417"/>
      <c r="D38" s="417"/>
      <c r="E38" s="417"/>
      <c r="F38" s="417"/>
      <c r="G38" s="417"/>
      <c r="H38" s="419"/>
      <c r="K38" s="204"/>
    </row>
    <row r="39" spans="2:11" ht="21.9" customHeight="1">
      <c r="B39" s="417"/>
      <c r="C39" s="417"/>
      <c r="D39" s="417"/>
      <c r="E39" s="417"/>
      <c r="F39" s="417"/>
      <c r="G39" s="417"/>
      <c r="H39" s="419"/>
      <c r="K39" s="204"/>
    </row>
    <row r="40" spans="2:11" ht="21.9" customHeight="1" thickBot="1">
      <c r="B40" s="417"/>
      <c r="C40" s="417"/>
      <c r="D40" s="417"/>
      <c r="E40" s="417"/>
      <c r="F40" s="417"/>
      <c r="G40" s="417"/>
      <c r="H40" s="437"/>
    </row>
    <row r="41" spans="2:11" ht="21.9" customHeight="1" thickBot="1">
      <c r="B41" s="78" t="s">
        <v>256</v>
      </c>
      <c r="C41" s="5"/>
      <c r="D41" s="5"/>
      <c r="E41" s="5"/>
      <c r="F41" s="5"/>
      <c r="G41" s="5"/>
      <c r="H41" s="214">
        <f>SUM(H8:H40)</f>
        <v>125831.89</v>
      </c>
      <c r="J41" s="204"/>
    </row>
    <row r="42" spans="2:11" ht="13.8" thickTop="1"/>
    <row r="43" spans="2:11">
      <c r="I43" s="204"/>
    </row>
    <row r="44" spans="2:11">
      <c r="I44" s="204"/>
    </row>
    <row r="45" spans="2:11">
      <c r="I45" s="204"/>
    </row>
    <row r="46" spans="2:11">
      <c r="I46" s="204"/>
    </row>
    <row r="47" spans="2:11" ht="13.8">
      <c r="B47" s="1130" t="s">
        <v>3337</v>
      </c>
      <c r="C47" s="1130"/>
      <c r="D47" s="1130"/>
      <c r="E47" s="1130"/>
      <c r="F47" s="1130"/>
      <c r="G47" s="1130"/>
      <c r="H47" s="1130"/>
    </row>
    <row r="48" spans="2:11">
      <c r="I48" s="204"/>
    </row>
    <row r="54" spans="8:8">
      <c r="H54" s="204"/>
    </row>
    <row r="55" spans="8:8">
      <c r="H55" s="204"/>
    </row>
  </sheetData>
  <sheetProtection password="CAF9" sheet="1" objects="1" scenarios="1"/>
  <mergeCells count="4">
    <mergeCell ref="B3:H3"/>
    <mergeCell ref="B4:H4"/>
    <mergeCell ref="B7:G7"/>
    <mergeCell ref="B47:H47"/>
  </mergeCells>
  <conditionalFormatting sqref="J9:J18 J20:J31">
    <cfRule type="cellIs" dxfId="1" priority="2" stopIfTrue="1" operator="equal">
      <formula>0</formula>
    </cfRule>
  </conditionalFormatting>
  <conditionalFormatting sqref="J19">
    <cfRule type="cellIs" dxfId="0" priority="1" stopIfTrue="1" operator="equal">
      <formula>0</formula>
    </cfRule>
  </conditionalFormatting>
  <pageMargins left="0.25" right="0.25" top="0.5" bottom="0.5" header="0.25" footer="0.25"/>
  <pageSetup paperSize="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11441-423A-4063-82C7-A0F020C1DA00}">
  <sheetPr codeName="Sheet293">
    <pageSetUpPr fitToPage="1"/>
  </sheetPr>
  <dimension ref="B2:K57"/>
  <sheetViews>
    <sheetView topLeftCell="A26" zoomScaleNormal="100" zoomScaleSheetLayoutView="80" workbookViewId="0">
      <selection activeCell="G12" sqref="G12"/>
    </sheetView>
  </sheetViews>
  <sheetFormatPr defaultColWidth="9.109375" defaultRowHeight="13.2"/>
  <cols>
    <col min="1" max="1" width="4.6640625" customWidth="1"/>
    <col min="2" max="2" width="4.88671875" customWidth="1"/>
    <col min="3" max="4" width="4.6640625" customWidth="1"/>
    <col min="5" max="5" width="30.6640625" customWidth="1"/>
    <col min="6" max="6" width="15.6640625" customWidth="1"/>
    <col min="7" max="7" width="21" bestFit="1" customWidth="1"/>
    <col min="8" max="8" width="19.88671875" bestFit="1" customWidth="1"/>
    <col min="9" max="9" width="3.6640625" bestFit="1" customWidth="1"/>
    <col min="10" max="10" width="13.5546875" bestFit="1" customWidth="1"/>
    <col min="11" max="11" width="11.109375" bestFit="1" customWidth="1"/>
  </cols>
  <sheetData>
    <row r="2" spans="2:11">
      <c r="B2" s="1181" t="s">
        <v>100</v>
      </c>
      <c r="C2" s="1181"/>
      <c r="D2" s="1181"/>
      <c r="E2" s="1181"/>
      <c r="F2" s="1181"/>
      <c r="G2" s="1181"/>
      <c r="H2" s="1181"/>
    </row>
    <row r="4" spans="2:11" ht="22.8">
      <c r="B4" s="1176" t="s">
        <v>424</v>
      </c>
      <c r="C4" s="1176"/>
      <c r="D4" s="1176"/>
      <c r="E4" s="1176"/>
      <c r="F4" s="1176"/>
      <c r="G4" s="1176"/>
      <c r="H4" s="1176"/>
    </row>
    <row r="5" spans="2:11" ht="22.8">
      <c r="B5" s="1176" t="s">
        <v>448</v>
      </c>
      <c r="C5" s="1176"/>
      <c r="D5" s="1176"/>
      <c r="E5" s="1176"/>
      <c r="F5" s="1176"/>
      <c r="G5" s="1176"/>
      <c r="H5" s="1176"/>
    </row>
    <row r="6" spans="2:11" ht="15.6">
      <c r="B6" s="1182" t="str">
        <f>IF('KEY INPUTS'!C42 = "State Fiscal Year", 'KEY INPUTS'!F45,'KEY INPUTS'!D45)</f>
        <v>AS  AT  DECEMBER  31, 2024</v>
      </c>
      <c r="C6" s="1132"/>
      <c r="D6" s="1132"/>
      <c r="E6" s="1132"/>
      <c r="F6" s="1132"/>
      <c r="G6" s="1132"/>
      <c r="H6" s="1132"/>
    </row>
    <row r="8" spans="2:11" ht="15" customHeight="1" thickBot="1">
      <c r="B8" s="1183" t="s">
        <v>94</v>
      </c>
      <c r="C8" s="1183"/>
      <c r="D8" s="1183"/>
      <c r="E8" s="1183"/>
      <c r="F8" s="1183"/>
      <c r="G8" s="1183"/>
      <c r="H8" s="1183"/>
    </row>
    <row r="9" spans="2:11" ht="36" customHeight="1" thickTop="1" thickBot="1">
      <c r="B9" s="1179" t="s">
        <v>95</v>
      </c>
      <c r="C9" s="1179"/>
      <c r="D9" s="1179"/>
      <c r="E9" s="1179"/>
      <c r="F9" s="1180"/>
      <c r="G9" s="4" t="s">
        <v>96</v>
      </c>
      <c r="H9" s="3" t="s">
        <v>97</v>
      </c>
    </row>
    <row r="10" spans="2:11" ht="21" customHeight="1" thickTop="1">
      <c r="B10" s="177" t="s">
        <v>3486</v>
      </c>
      <c r="C10" s="594"/>
      <c r="D10" s="594"/>
      <c r="E10" s="594"/>
      <c r="F10" s="25"/>
      <c r="G10" s="595">
        <f>'3a-Trial Bal-Current Fund'!G44</f>
        <v>4302911.5</v>
      </c>
      <c r="H10" s="622">
        <f>'3a-Trial Bal-Current Fund'!H44</f>
        <v>2290999.8100000005</v>
      </c>
    </row>
    <row r="11" spans="2:11" ht="21" customHeight="1">
      <c r="B11" s="621"/>
      <c r="C11" s="555"/>
      <c r="D11" s="613"/>
      <c r="E11" s="613"/>
      <c r="F11" s="616"/>
      <c r="G11" s="289"/>
      <c r="H11" s="438"/>
      <c r="J11" s="296"/>
    </row>
    <row r="12" spans="2:11" ht="21" customHeight="1">
      <c r="B12" s="418"/>
      <c r="C12" s="555"/>
      <c r="D12" s="613"/>
      <c r="E12" s="613"/>
      <c r="F12" s="616"/>
      <c r="G12" s="289"/>
      <c r="H12" s="438"/>
      <c r="I12" s="112"/>
      <c r="J12" s="204"/>
      <c r="K12" s="204"/>
    </row>
    <row r="13" spans="2:11" ht="21" customHeight="1">
      <c r="B13" s="418"/>
      <c r="C13" s="555"/>
      <c r="D13" s="613"/>
      <c r="E13" s="613"/>
      <c r="F13" s="616"/>
      <c r="G13" s="289"/>
      <c r="H13" s="438"/>
      <c r="I13" s="112"/>
      <c r="J13" s="204"/>
      <c r="K13" s="204"/>
    </row>
    <row r="14" spans="2:11" ht="21" customHeight="1">
      <c r="B14" s="418"/>
      <c r="C14" s="555"/>
      <c r="D14" s="613"/>
      <c r="E14" s="613"/>
      <c r="F14" s="616"/>
      <c r="G14" s="289"/>
      <c r="H14" s="438"/>
      <c r="I14" s="112"/>
      <c r="J14" s="204"/>
      <c r="K14" s="204"/>
    </row>
    <row r="15" spans="2:11" ht="21" customHeight="1">
      <c r="B15" s="418"/>
      <c r="C15" s="555"/>
      <c r="D15" s="613"/>
      <c r="E15" s="613"/>
      <c r="F15" s="616"/>
      <c r="G15" s="289"/>
      <c r="H15" s="438"/>
      <c r="I15" s="112"/>
      <c r="J15" s="204"/>
      <c r="K15" s="204"/>
    </row>
    <row r="16" spans="2:11" ht="21" customHeight="1">
      <c r="B16" s="418"/>
      <c r="C16" s="555"/>
      <c r="D16" s="613"/>
      <c r="E16" s="613"/>
      <c r="F16" s="616"/>
      <c r="G16" s="289"/>
      <c r="H16" s="438"/>
      <c r="I16" s="112"/>
      <c r="J16" s="204"/>
      <c r="K16" s="204"/>
    </row>
    <row r="17" spans="2:11" ht="21" customHeight="1">
      <c r="B17" s="418"/>
      <c r="C17" s="555"/>
      <c r="D17" s="613"/>
      <c r="E17" s="613"/>
      <c r="F17" s="616"/>
      <c r="G17" s="289"/>
      <c r="H17" s="438"/>
      <c r="I17" s="112"/>
      <c r="J17" s="204"/>
      <c r="K17" s="204"/>
    </row>
    <row r="18" spans="2:11" ht="21" customHeight="1">
      <c r="B18" s="418"/>
      <c r="C18" s="555"/>
      <c r="D18" s="613"/>
      <c r="E18" s="613"/>
      <c r="F18" s="616"/>
      <c r="G18" s="289"/>
      <c r="H18" s="438"/>
      <c r="I18" s="112"/>
      <c r="J18" s="204"/>
    </row>
    <row r="19" spans="2:11" ht="21" customHeight="1">
      <c r="B19" s="418"/>
      <c r="C19" s="555"/>
      <c r="D19" s="613"/>
      <c r="E19" s="613"/>
      <c r="F19" s="616"/>
      <c r="G19" s="289"/>
      <c r="H19" s="438"/>
      <c r="I19" s="112"/>
      <c r="J19" s="204"/>
    </row>
    <row r="20" spans="2:11" ht="21" customHeight="1">
      <c r="B20" s="418"/>
      <c r="C20" s="555"/>
      <c r="D20" s="613"/>
      <c r="E20" s="613"/>
      <c r="F20" s="616"/>
      <c r="G20" s="289"/>
      <c r="H20" s="438"/>
      <c r="I20" s="112"/>
      <c r="J20" s="204"/>
      <c r="K20" s="204"/>
    </row>
    <row r="21" spans="2:11" ht="21" customHeight="1">
      <c r="B21" s="418"/>
      <c r="C21" s="555"/>
      <c r="D21" s="613"/>
      <c r="E21" s="613"/>
      <c r="F21" s="616"/>
      <c r="G21" s="289"/>
      <c r="H21" s="438"/>
      <c r="I21" s="112"/>
      <c r="J21" s="204"/>
      <c r="K21" s="204"/>
    </row>
    <row r="22" spans="2:11" ht="21" customHeight="1">
      <c r="B22" s="418"/>
      <c r="C22" s="555"/>
      <c r="D22" s="613"/>
      <c r="E22" s="613"/>
      <c r="F22" s="616"/>
      <c r="G22" s="289"/>
      <c r="H22" s="438"/>
      <c r="I22" s="112"/>
    </row>
    <row r="23" spans="2:11" ht="21" customHeight="1">
      <c r="B23" s="418"/>
      <c r="C23" s="555"/>
      <c r="D23" s="613"/>
      <c r="E23" s="613"/>
      <c r="F23" s="616"/>
      <c r="G23" s="289"/>
      <c r="H23" s="438"/>
      <c r="I23" s="112"/>
      <c r="J23" s="204"/>
    </row>
    <row r="24" spans="2:11" ht="21" customHeight="1" thickBot="1">
      <c r="B24" s="418"/>
      <c r="C24" s="555"/>
      <c r="D24" s="613"/>
      <c r="E24" s="613"/>
      <c r="F24" s="616"/>
      <c r="G24" s="435"/>
      <c r="H24" s="960"/>
      <c r="I24" s="112"/>
      <c r="J24" s="204"/>
    </row>
    <row r="25" spans="2:11" ht="21" customHeight="1">
      <c r="B25" s="263"/>
      <c r="C25" s="853"/>
      <c r="D25" s="854"/>
      <c r="E25" s="854"/>
      <c r="F25" s="5" t="s">
        <v>355</v>
      </c>
      <c r="G25" s="961">
        <f>SUM(G10:G24)</f>
        <v>4302911.5</v>
      </c>
      <c r="H25" s="958">
        <f>SUM(H10:H24)</f>
        <v>2290999.8100000005</v>
      </c>
      <c r="I25" s="112" t="s">
        <v>795</v>
      </c>
      <c r="J25" s="204"/>
      <c r="K25" s="204"/>
    </row>
    <row r="26" spans="2:11" ht="21" customHeight="1">
      <c r="B26" s="418"/>
      <c r="C26" s="555"/>
      <c r="D26" s="613"/>
      <c r="E26" s="613"/>
      <c r="F26" s="616"/>
      <c r="G26" s="289"/>
      <c r="H26" s="438"/>
      <c r="I26" s="112"/>
      <c r="J26" s="204"/>
    </row>
    <row r="27" spans="2:11" ht="21" customHeight="1">
      <c r="B27" s="418"/>
      <c r="C27" s="555"/>
      <c r="D27" s="613"/>
      <c r="E27" s="613"/>
      <c r="F27" s="616"/>
      <c r="G27" s="289"/>
      <c r="H27" s="438"/>
      <c r="I27" s="112"/>
      <c r="J27" s="204"/>
      <c r="K27" s="204"/>
    </row>
    <row r="28" spans="2:11" ht="21" customHeight="1">
      <c r="B28" s="418"/>
      <c r="C28" s="555"/>
      <c r="D28" s="613"/>
      <c r="E28" s="613"/>
      <c r="F28" s="616"/>
      <c r="G28" s="289"/>
      <c r="H28" s="438"/>
      <c r="I28" s="112"/>
      <c r="J28" s="204"/>
      <c r="K28" s="204"/>
    </row>
    <row r="29" spans="2:11" ht="21" customHeight="1">
      <c r="B29" s="1184"/>
      <c r="C29" s="1184"/>
      <c r="D29" s="1184"/>
      <c r="E29" s="1184"/>
      <c r="F29" s="1185"/>
      <c r="G29" s="289"/>
      <c r="H29" s="438"/>
      <c r="I29" s="112"/>
      <c r="J29" s="204"/>
      <c r="K29" s="204"/>
    </row>
    <row r="30" spans="2:11" ht="21" customHeight="1">
      <c r="B30" s="1184"/>
      <c r="C30" s="1184"/>
      <c r="D30" s="1184"/>
      <c r="E30" s="1184"/>
      <c r="F30" s="1185"/>
      <c r="G30" s="289"/>
      <c r="H30" s="438"/>
      <c r="I30" s="112"/>
    </row>
    <row r="31" spans="2:11" ht="21" customHeight="1">
      <c r="B31" s="1184"/>
      <c r="C31" s="1184"/>
      <c r="D31" s="1184"/>
      <c r="E31" s="1184"/>
      <c r="F31" s="1185"/>
      <c r="G31" s="289"/>
      <c r="H31" s="438"/>
      <c r="I31" s="112"/>
      <c r="J31" s="204"/>
      <c r="K31" s="204"/>
    </row>
    <row r="32" spans="2:11" ht="21" customHeight="1">
      <c r="B32" s="1184"/>
      <c r="C32" s="1184"/>
      <c r="D32" s="1184"/>
      <c r="E32" s="1184"/>
      <c r="F32" s="1185"/>
      <c r="G32" s="289"/>
      <c r="H32" s="438"/>
      <c r="I32" s="112"/>
      <c r="J32" s="204"/>
      <c r="K32" s="204"/>
    </row>
    <row r="33" spans="2:11" ht="21" customHeight="1">
      <c r="B33" s="1184"/>
      <c r="C33" s="1184"/>
      <c r="D33" s="1184"/>
      <c r="E33" s="1184"/>
      <c r="F33" s="1185"/>
      <c r="G33" s="289"/>
      <c r="H33" s="438"/>
      <c r="I33" s="112"/>
      <c r="J33" s="204"/>
      <c r="K33" s="204"/>
    </row>
    <row r="34" spans="2:11" ht="21" customHeight="1">
      <c r="B34" s="1184"/>
      <c r="C34" s="1184"/>
      <c r="D34" s="1184"/>
      <c r="E34" s="1184"/>
      <c r="F34" s="1185"/>
      <c r="G34" s="289"/>
      <c r="H34" s="438"/>
      <c r="I34" s="112"/>
      <c r="J34" s="204"/>
      <c r="K34" s="204"/>
    </row>
    <row r="35" spans="2:11" ht="21" customHeight="1">
      <c r="B35" s="1184"/>
      <c r="C35" s="1184"/>
      <c r="D35" s="1184"/>
      <c r="E35" s="1184"/>
      <c r="F35" s="1185"/>
      <c r="G35" s="289"/>
      <c r="H35" s="507"/>
      <c r="I35" s="112"/>
      <c r="J35" s="204"/>
      <c r="K35" s="204"/>
    </row>
    <row r="36" spans="2:11" ht="21" customHeight="1">
      <c r="B36" s="1184"/>
      <c r="C36" s="1184"/>
      <c r="D36" s="1184"/>
      <c r="E36" s="1184"/>
      <c r="F36" s="1185"/>
      <c r="G36" s="289"/>
      <c r="H36" s="419"/>
      <c r="I36" s="112"/>
    </row>
    <row r="37" spans="2:11" ht="21" customHeight="1">
      <c r="B37" s="5"/>
      <c r="C37" s="5"/>
      <c r="D37" s="5"/>
      <c r="E37" s="5"/>
      <c r="F37" s="5"/>
      <c r="G37" s="272"/>
      <c r="H37" s="233"/>
      <c r="I37" s="112"/>
      <c r="J37" s="550"/>
    </row>
    <row r="38" spans="2:11" ht="21" customHeight="1">
      <c r="B38" s="5"/>
      <c r="C38" s="5"/>
      <c r="D38" s="5"/>
      <c r="E38" s="5"/>
      <c r="F38" s="5"/>
      <c r="G38" s="272"/>
      <c r="H38" s="255"/>
      <c r="I38" s="112"/>
    </row>
    <row r="39" spans="2:11" ht="21" customHeight="1">
      <c r="B39" s="5"/>
      <c r="C39" s="5" t="s">
        <v>796</v>
      </c>
      <c r="D39" s="5"/>
      <c r="E39" s="5"/>
      <c r="F39" s="5"/>
      <c r="G39" s="560"/>
      <c r="H39" s="255">
        <f>SUM('3-Trial Bal-Current Fund'!G17:G35)</f>
        <v>550359.39999999921</v>
      </c>
      <c r="I39" s="112"/>
      <c r="J39" s="204"/>
      <c r="K39" s="204"/>
    </row>
    <row r="40" spans="2:11" ht="21" customHeight="1">
      <c r="B40" s="5"/>
      <c r="C40" s="5" t="s">
        <v>120</v>
      </c>
      <c r="D40" s="5"/>
      <c r="E40" s="5"/>
      <c r="F40" s="5"/>
      <c r="G40" s="272">
        <f>+'13-Other Taxes'!G18+'14-Other Taxes'!G40+'14-Other Taxes'!G19</f>
        <v>1495983.5</v>
      </c>
      <c r="H40" s="668"/>
      <c r="I40" s="112"/>
      <c r="J40" s="204"/>
      <c r="K40" s="204"/>
    </row>
    <row r="41" spans="2:11" ht="21" customHeight="1">
      <c r="B41" s="5"/>
      <c r="C41" s="5" t="s">
        <v>121</v>
      </c>
      <c r="D41" s="5"/>
      <c r="E41" s="5"/>
      <c r="F41" s="5"/>
      <c r="G41" s="663"/>
      <c r="H41" s="255">
        <f>+G40</f>
        <v>1495983.5</v>
      </c>
      <c r="I41" s="112"/>
      <c r="J41" s="204"/>
      <c r="K41" s="204"/>
    </row>
    <row r="42" spans="2:11" ht="21" customHeight="1">
      <c r="B42" s="5"/>
      <c r="C42" s="5" t="s">
        <v>797</v>
      </c>
      <c r="D42" s="5"/>
      <c r="E42" s="5"/>
      <c r="F42" s="5"/>
      <c r="G42" s="560"/>
      <c r="H42" s="255">
        <f>+'21-Current Fund Surplus'!K14</f>
        <v>1461552.29</v>
      </c>
      <c r="I42" s="112"/>
      <c r="J42" s="204"/>
      <c r="K42" s="204"/>
    </row>
    <row r="43" spans="2:11" ht="21" customHeight="1" thickBot="1">
      <c r="B43" s="5"/>
      <c r="C43" s="5"/>
      <c r="D43" s="5"/>
      <c r="E43" s="5"/>
      <c r="F43" s="5"/>
      <c r="G43" s="256"/>
      <c r="H43" s="234"/>
      <c r="I43" s="112"/>
    </row>
    <row r="44" spans="2:11" ht="21" customHeight="1" thickBot="1">
      <c r="B44" s="5"/>
      <c r="C44" s="5"/>
      <c r="D44" s="5"/>
      <c r="E44" s="5"/>
      <c r="F44" s="5" t="s">
        <v>798</v>
      </c>
      <c r="G44" s="288">
        <f>SUM(G25:G43)</f>
        <v>5798895</v>
      </c>
      <c r="H44" s="235">
        <f>SUM(H25:H42)</f>
        <v>5798895</v>
      </c>
      <c r="I44" s="112"/>
      <c r="J44" s="204"/>
    </row>
    <row r="45" spans="2:11" ht="21" customHeight="1" thickTop="1">
      <c r="B45" s="5"/>
      <c r="C45" s="5"/>
      <c r="D45" s="5"/>
      <c r="E45" s="5"/>
      <c r="F45" s="5"/>
      <c r="G45" s="253"/>
      <c r="H45" s="233"/>
    </row>
    <row r="46" spans="2:11" ht="21" customHeight="1">
      <c r="B46" s="5"/>
      <c r="C46" s="5"/>
      <c r="D46" s="5"/>
      <c r="E46" s="5"/>
      <c r="F46" s="5"/>
      <c r="G46" s="272"/>
      <c r="H46" s="255"/>
    </row>
    <row r="47" spans="2:11">
      <c r="B47" s="1158" t="s">
        <v>98</v>
      </c>
      <c r="C47" s="1158"/>
      <c r="D47" s="1158"/>
      <c r="E47" s="1158"/>
      <c r="F47" s="1158"/>
      <c r="G47" s="1158"/>
      <c r="H47" s="1158"/>
    </row>
    <row r="48" spans="2:11" ht="13.8">
      <c r="B48" s="1130" t="s">
        <v>3485</v>
      </c>
      <c r="C48" s="1130"/>
      <c r="D48" s="1130"/>
      <c r="E48" s="1130"/>
      <c r="F48" s="1130"/>
      <c r="G48" s="1130"/>
      <c r="H48" s="1130"/>
    </row>
    <row r="49" spans="7:8">
      <c r="H49" s="204"/>
    </row>
    <row r="50" spans="7:8">
      <c r="G50" s="204"/>
      <c r="H50" s="204"/>
    </row>
    <row r="51" spans="7:8">
      <c r="H51" s="204"/>
    </row>
    <row r="52" spans="7:8">
      <c r="G52" s="204"/>
      <c r="H52" s="204"/>
    </row>
    <row r="53" spans="7:8">
      <c r="G53" s="204"/>
      <c r="H53" s="204"/>
    </row>
    <row r="54" spans="7:8">
      <c r="H54" s="204"/>
    </row>
    <row r="55" spans="7:8">
      <c r="G55" s="204"/>
    </row>
    <row r="57" spans="7:8">
      <c r="H57" s="204"/>
    </row>
  </sheetData>
  <sheetProtection algorithmName="SHA-512" hashValue="vpbKueVxT02y2TWAZiMsPimaRiwbJo/mGUgc54Zjfkuu8C3zKB71QmrPCJpnKHsNbvoqxs/B9AzKZgBTTogyrg==" saltValue="uj3YpRUJPLl5jVVcBeP8tA==" spinCount="100000" sheet="1" objects="1" scenarios="1"/>
  <mergeCells count="16">
    <mergeCell ref="B35:F35"/>
    <mergeCell ref="B36:F36"/>
    <mergeCell ref="B47:H47"/>
    <mergeCell ref="B48:H48"/>
    <mergeCell ref="B29:F29"/>
    <mergeCell ref="B30:F30"/>
    <mergeCell ref="B31:F31"/>
    <mergeCell ref="B32:F32"/>
    <mergeCell ref="B33:F33"/>
    <mergeCell ref="B34:F34"/>
    <mergeCell ref="B9:F9"/>
    <mergeCell ref="B2:H2"/>
    <mergeCell ref="B4:H4"/>
    <mergeCell ref="B5:H5"/>
    <mergeCell ref="B6:H6"/>
    <mergeCell ref="B8:H8"/>
  </mergeCells>
  <pageMargins left="0.25" right="0.25" top="0.5" bottom="0.5" header="0.25" footer="0.25"/>
  <pageSetup scale="75"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0"/>
  <dimension ref="B3:N52"/>
  <sheetViews>
    <sheetView topLeftCell="A23" zoomScaleNormal="100" workbookViewId="0">
      <selection activeCell="L9" sqref="L9"/>
    </sheetView>
  </sheetViews>
  <sheetFormatPr defaultRowHeight="13.2"/>
  <cols>
    <col min="1" max="5" width="4.6640625" customWidth="1"/>
    <col min="9" max="9" width="6.33203125" customWidth="1"/>
    <col min="11" max="12" width="16.6640625" customWidth="1"/>
    <col min="13" max="13" width="13.5546875" bestFit="1" customWidth="1"/>
    <col min="14" max="14" width="10.88671875" bestFit="1" customWidth="1"/>
  </cols>
  <sheetData>
    <row r="3" spans="2:13" ht="22.8">
      <c r="B3" s="1176" t="s">
        <v>291</v>
      </c>
      <c r="C3" s="1176"/>
      <c r="D3" s="1176"/>
      <c r="E3" s="1176"/>
      <c r="F3" s="1176"/>
      <c r="G3" s="1176"/>
      <c r="H3" s="1176"/>
      <c r="I3" s="1176"/>
      <c r="J3" s="1176"/>
      <c r="K3" s="1176"/>
      <c r="L3" s="1176"/>
    </row>
    <row r="4" spans="2:13" ht="22.8">
      <c r="B4" s="1238" t="str">
        <f>IF('KEY INPUTS'!C42 = "State Fiscal Year", "FISCAL YEAR "&amp;'KEY INPUTS'!D33&amp;"", "YEAR "&amp;'KEY INPUTS'!D34&amp;"")</f>
        <v>YEAR 2024</v>
      </c>
      <c r="C4" s="1176"/>
      <c r="D4" s="1176"/>
      <c r="E4" s="1176"/>
      <c r="F4" s="1176"/>
      <c r="G4" s="1176"/>
      <c r="H4" s="1176"/>
      <c r="I4" s="1176"/>
      <c r="J4" s="1176"/>
      <c r="K4" s="1176"/>
      <c r="L4" s="1176"/>
    </row>
    <row r="5" spans="2:13" ht="13.8" thickBot="1"/>
    <row r="6" spans="2:13" ht="32.1" customHeight="1" thickTop="1" thickBot="1">
      <c r="B6" s="58"/>
      <c r="C6" s="58"/>
      <c r="D6" s="58"/>
      <c r="E6" s="58"/>
      <c r="F6" s="58"/>
      <c r="G6" s="58"/>
      <c r="H6" s="58"/>
      <c r="I6" s="58"/>
      <c r="J6" s="58"/>
      <c r="K6" s="4" t="s">
        <v>96</v>
      </c>
      <c r="L6" s="3" t="s">
        <v>97</v>
      </c>
    </row>
    <row r="7" spans="2:13" ht="21" customHeight="1" thickTop="1">
      <c r="B7" s="82" t="s">
        <v>292</v>
      </c>
      <c r="C7" s="22" t="str">
        <f>IF('KEY INPUTS'!C42 = "State Fiscal Year", 'KEY INPUTS'!F25,'KEY INPUTS'!D25)</f>
        <v>Balance - January 1, 2024</v>
      </c>
      <c r="D7" s="22"/>
      <c r="E7" s="22"/>
      <c r="F7" s="22"/>
      <c r="G7" s="22"/>
      <c r="H7" s="22"/>
      <c r="I7" s="22"/>
      <c r="J7" s="22"/>
      <c r="K7" s="48" t="s">
        <v>627</v>
      </c>
      <c r="L7" s="439">
        <v>728272.91</v>
      </c>
      <c r="M7" s="576"/>
    </row>
    <row r="8" spans="2:13" ht="21" customHeight="1">
      <c r="B8" s="83" t="s">
        <v>293</v>
      </c>
      <c r="C8" s="417"/>
      <c r="D8" s="417"/>
      <c r="E8" s="417"/>
      <c r="F8" s="417"/>
      <c r="G8" s="417"/>
      <c r="H8" s="5"/>
      <c r="I8" s="5"/>
      <c r="J8" s="5"/>
      <c r="K8" s="43" t="s">
        <v>627</v>
      </c>
      <c r="L8" s="438"/>
    </row>
    <row r="9" spans="2:13" ht="21" customHeight="1">
      <c r="B9" s="83" t="s">
        <v>294</v>
      </c>
      <c r="C9" s="5" t="str">
        <f>"Excess Resulting from "&amp;IF('KEY INPUTS'!C42="State Fiscal Year","Fiscal Year "&amp;'KEY INPUTS'!D33&amp;"",'KEY INPUTS'!D34)&amp;" Operations"</f>
        <v>Excess Resulting from 2024 Operations</v>
      </c>
      <c r="D9" s="5"/>
      <c r="E9" s="5"/>
      <c r="F9" s="5"/>
      <c r="G9" s="5"/>
      <c r="H9" s="5"/>
      <c r="I9" s="5"/>
      <c r="J9" s="5"/>
      <c r="K9" s="43" t="s">
        <v>627</v>
      </c>
      <c r="L9" s="195">
        <f>+'19-Results of Op-Cur Fnd'!H44</f>
        <v>924279.38000000012</v>
      </c>
      <c r="M9" s="204"/>
    </row>
    <row r="10" spans="2:13" ht="21" customHeight="1">
      <c r="B10" s="83" t="s">
        <v>295</v>
      </c>
      <c r="C10" s="5" t="str">
        <f>"Amount Appropriated in the "&amp;IF('KEY INPUTS'!C42="State Fiscal Year","Fiscal Year "&amp;'KEY INPUTS'!D33&amp;"",'KEY INPUTS'!D34)&amp;" Budget - Cash"</f>
        <v>Amount Appropriated in the 2024 Budget - Cash</v>
      </c>
      <c r="D10" s="5"/>
      <c r="E10" s="5"/>
      <c r="F10" s="5"/>
      <c r="G10" s="5"/>
      <c r="H10" s="5"/>
      <c r="I10" s="5"/>
      <c r="J10" s="5"/>
      <c r="K10" s="270">
        <f>+'17-Budget Revenues'!H6</f>
        <v>191000</v>
      </c>
      <c r="L10" s="44" t="s">
        <v>627</v>
      </c>
    </row>
    <row r="11" spans="2:13" ht="13.8">
      <c r="B11" s="81" t="s">
        <v>296</v>
      </c>
      <c r="C11" t="str">
        <f>"Amount Appropriated in "&amp;IF('KEY INPUTS'!C42="State Fiscal Year","Fiscal Year "&amp;'KEY INPUTS'!D33&amp;"",'KEY INPUTS'!D34)&amp;" Budget - with Prior"</f>
        <v>Amount Appropriated in 2024 Budget - with Prior</v>
      </c>
      <c r="K11" s="100"/>
      <c r="L11" s="152"/>
    </row>
    <row r="12" spans="2:13" ht="12.75" customHeight="1">
      <c r="B12" s="84"/>
      <c r="C12" s="30" t="s">
        <v>3561</v>
      </c>
      <c r="D12" s="30"/>
      <c r="E12" s="30"/>
      <c r="F12" s="30"/>
      <c r="G12" s="30"/>
      <c r="H12" s="30"/>
      <c r="I12" s="30"/>
      <c r="J12" s="30"/>
      <c r="K12" s="99">
        <f>+'17-Budget Revenues'!H8</f>
        <v>0</v>
      </c>
      <c r="L12" s="713" t="s">
        <v>627</v>
      </c>
    </row>
    <row r="13" spans="2:13" ht="21" customHeight="1">
      <c r="B13" s="83" t="s">
        <v>297</v>
      </c>
      <c r="C13" s="417"/>
      <c r="D13" s="417"/>
      <c r="E13" s="417"/>
      <c r="F13" s="417"/>
      <c r="G13" s="417"/>
      <c r="H13" s="5"/>
      <c r="I13" s="5"/>
      <c r="J13" s="5"/>
      <c r="K13" s="289"/>
      <c r="L13" s="44" t="s">
        <v>627</v>
      </c>
    </row>
    <row r="14" spans="2:13" ht="21" customHeight="1" thickBot="1">
      <c r="B14" s="83" t="s">
        <v>298</v>
      </c>
      <c r="C14" s="5" t="str">
        <f>IF('KEY INPUTS'!C42 = "State Fiscal Year", 'KEY INPUTS'!F26,'KEY INPUTS'!D26)</f>
        <v>Balance - December 31, 2024</v>
      </c>
      <c r="D14" s="5"/>
      <c r="E14" s="5"/>
      <c r="F14" s="5"/>
      <c r="G14" s="5"/>
      <c r="H14" s="5"/>
      <c r="I14" s="5"/>
      <c r="J14" s="5"/>
      <c r="K14" s="211">
        <f>+L7+L8+L9-K10-K12-K13</f>
        <v>1461552.29</v>
      </c>
      <c r="L14" s="45" t="s">
        <v>627</v>
      </c>
      <c r="M14" s="204"/>
    </row>
    <row r="15" spans="2:13" ht="21" customHeight="1" thickBot="1">
      <c r="K15" s="199">
        <f>SUM(K10:K14)</f>
        <v>1652552.29</v>
      </c>
      <c r="L15" s="210">
        <f>SUM(L7:L14)</f>
        <v>1652552.29</v>
      </c>
      <c r="M15" s="204"/>
    </row>
    <row r="16" spans="2:13" ht="13.8" thickTop="1"/>
    <row r="17" spans="2:13">
      <c r="L17" s="204"/>
    </row>
    <row r="19" spans="2:13" ht="17.399999999999999">
      <c r="B19" s="1186" t="str">
        <f>"ANALYSIS OF BALANCE "&amp;IF('KEY INPUTS'!C42 = "State Fiscal Year", 'KEY INPUTS'!F45,'KEY INPUTS'!D45)</f>
        <v>ANALYSIS OF BALANCE AS  AT  DECEMBER  31, 2024</v>
      </c>
      <c r="C19" s="1186"/>
      <c r="D19" s="1186"/>
      <c r="E19" s="1186"/>
      <c r="F19" s="1186"/>
      <c r="G19" s="1186"/>
      <c r="H19" s="1186"/>
      <c r="I19" s="1186"/>
      <c r="J19" s="1186"/>
      <c r="K19" s="1186"/>
      <c r="L19" s="1186"/>
    </row>
    <row r="20" spans="2:13" ht="17.399999999999999">
      <c r="B20" s="1186" t="s">
        <v>842</v>
      </c>
      <c r="C20" s="1186"/>
      <c r="D20" s="1186"/>
      <c r="E20" s="1186"/>
      <c r="F20" s="1186"/>
      <c r="G20" s="1186"/>
      <c r="H20" s="1186"/>
      <c r="I20" s="1186"/>
      <c r="J20" s="1186"/>
      <c r="K20" s="1186"/>
      <c r="L20" s="1186"/>
    </row>
    <row r="21" spans="2:13" ht="13.8" thickBot="1"/>
    <row r="22" spans="2:13" ht="32.1" customHeight="1" thickTop="1" thickBot="1">
      <c r="B22" s="58"/>
      <c r="C22" s="58"/>
      <c r="D22" s="58"/>
      <c r="E22" s="58"/>
      <c r="F22" s="58"/>
      <c r="G22" s="58"/>
      <c r="H22" s="58"/>
      <c r="I22" s="58"/>
      <c r="J22" s="58"/>
      <c r="K22" s="58"/>
      <c r="L22" s="85"/>
    </row>
    <row r="23" spans="2:13" ht="21" customHeight="1" thickTop="1" thickBot="1">
      <c r="B23" s="22" t="s">
        <v>194</v>
      </c>
      <c r="C23" s="22"/>
      <c r="D23" s="22"/>
      <c r="E23" s="22"/>
      <c r="F23" s="22"/>
      <c r="G23" s="22"/>
      <c r="H23" s="22"/>
      <c r="I23" s="22"/>
      <c r="J23" s="22"/>
      <c r="K23" s="47"/>
      <c r="L23" s="201">
        <f>+'3-Trial Bal-Current Fund'!G11</f>
        <v>3752552.1</v>
      </c>
      <c r="M23" s="576"/>
    </row>
    <row r="24" spans="2:13" ht="21" customHeight="1" thickTop="1">
      <c r="B24" s="5" t="s">
        <v>315</v>
      </c>
      <c r="C24" s="5"/>
      <c r="D24" s="5"/>
      <c r="E24" s="5"/>
      <c r="F24" s="5"/>
      <c r="G24" s="5"/>
      <c r="H24" s="5"/>
      <c r="I24" s="5"/>
      <c r="J24" s="5"/>
      <c r="K24" s="46"/>
      <c r="L24" s="436"/>
      <c r="M24" s="550"/>
    </row>
    <row r="25" spans="2:13" ht="21" customHeight="1" thickBot="1">
      <c r="B25" s="418"/>
      <c r="C25" s="417"/>
      <c r="D25" s="417"/>
      <c r="E25" s="417"/>
      <c r="F25" s="417"/>
      <c r="G25" s="417"/>
      <c r="H25" s="417"/>
      <c r="I25" s="417"/>
      <c r="J25" s="5"/>
      <c r="K25" s="46"/>
      <c r="L25" s="434"/>
    </row>
    <row r="26" spans="2:13" ht="21" customHeight="1">
      <c r="B26" s="5" t="s">
        <v>709</v>
      </c>
      <c r="C26" s="5"/>
      <c r="D26" s="5"/>
      <c r="E26" s="5"/>
      <c r="F26" s="5"/>
      <c r="G26" s="5"/>
      <c r="H26" s="5"/>
      <c r="I26" s="5"/>
      <c r="J26" s="5"/>
      <c r="K26" s="46"/>
      <c r="L26" s="203">
        <f>+L23+L24+L25</f>
        <v>3752552.1</v>
      </c>
    </row>
    <row r="27" spans="2:13" ht="21" customHeight="1" thickBot="1">
      <c r="B27" s="5" t="s">
        <v>362</v>
      </c>
      <c r="C27" s="5"/>
      <c r="D27" s="5"/>
      <c r="E27" s="5"/>
      <c r="F27" s="5"/>
      <c r="G27" s="5"/>
      <c r="H27" s="5"/>
      <c r="I27" s="5"/>
      <c r="J27" s="5"/>
      <c r="K27" s="46"/>
      <c r="L27" s="213">
        <f>+'3a.1-Trial Bal-Current Fund'!H25</f>
        <v>2290999.8100000005</v>
      </c>
      <c r="M27" s="550"/>
    </row>
    <row r="28" spans="2:13" ht="21" customHeight="1" thickBot="1">
      <c r="B28" s="5" t="s">
        <v>363</v>
      </c>
      <c r="C28" s="5"/>
      <c r="D28" s="5"/>
      <c r="E28" s="5"/>
      <c r="F28" s="5"/>
      <c r="G28" s="5"/>
      <c r="H28" s="5"/>
      <c r="I28" s="5"/>
      <c r="J28" s="5"/>
      <c r="K28" s="46"/>
      <c r="L28" s="203">
        <f>+L26-L27</f>
        <v>1461552.2899999996</v>
      </c>
    </row>
    <row r="29" spans="2:13" ht="21" customHeight="1" thickTop="1">
      <c r="B29" s="5" t="s">
        <v>364</v>
      </c>
      <c r="C29" s="5"/>
      <c r="D29" s="5"/>
      <c r="E29" s="5"/>
      <c r="F29" s="5"/>
      <c r="G29" s="5"/>
      <c r="H29" s="5"/>
      <c r="I29" s="5"/>
      <c r="J29" s="5"/>
      <c r="K29" s="46"/>
      <c r="L29" s="436"/>
    </row>
    <row r="30" spans="2:13" ht="21" customHeight="1">
      <c r="B30" s="5" t="s">
        <v>369</v>
      </c>
      <c r="C30" s="5"/>
      <c r="D30" s="5"/>
      <c r="E30" s="5"/>
      <c r="F30" s="5"/>
      <c r="G30" s="5"/>
      <c r="H30" s="5"/>
      <c r="I30" s="5"/>
      <c r="J30" s="5"/>
      <c r="K30" s="24"/>
      <c r="L30" s="212"/>
    </row>
    <row r="31" spans="2:13" ht="22.5" customHeight="1">
      <c r="B31" s="5"/>
      <c r="C31" s="1237" t="s">
        <v>370</v>
      </c>
      <c r="D31" s="1237"/>
      <c r="E31" s="1237"/>
      <c r="F31" s="1237"/>
      <c r="G31" s="1237"/>
      <c r="H31" s="86"/>
      <c r="I31" s="5"/>
      <c r="J31" s="5"/>
      <c r="K31" s="270">
        <f>+'3-Trial Bal-Current Fund'!G13</f>
        <v>0</v>
      </c>
      <c r="L31" s="212"/>
    </row>
    <row r="32" spans="2:13" ht="21" customHeight="1">
      <c r="B32" s="5"/>
      <c r="C32" s="5" t="s">
        <v>365</v>
      </c>
      <c r="D32" s="5"/>
      <c r="E32" s="5"/>
      <c r="F32" s="5"/>
      <c r="G32" s="5"/>
      <c r="H32" s="5"/>
      <c r="I32" s="5"/>
      <c r="J32" s="5"/>
      <c r="K32" s="289"/>
      <c r="L32" s="212"/>
      <c r="M32" s="575"/>
    </row>
    <row r="33" spans="2:14" ht="21" customHeight="1">
      <c r="B33" s="5"/>
      <c r="C33" s="5" t="s">
        <v>366</v>
      </c>
      <c r="D33" s="5"/>
      <c r="E33" s="5"/>
      <c r="F33" s="5"/>
      <c r="G33" s="5"/>
      <c r="H33" s="5"/>
      <c r="I33" s="5"/>
      <c r="J33" s="5"/>
      <c r="K33" s="289"/>
      <c r="L33" s="212"/>
      <c r="M33" s="575"/>
    </row>
    <row r="34" spans="2:14" ht="21" customHeight="1">
      <c r="B34" s="5"/>
      <c r="C34" s="417"/>
      <c r="D34" s="417"/>
      <c r="E34" s="417"/>
      <c r="F34" s="417"/>
      <c r="G34" s="417"/>
      <c r="H34" s="417"/>
      <c r="I34" s="417"/>
      <c r="J34" s="417"/>
      <c r="K34" s="289"/>
      <c r="L34" s="212"/>
    </row>
    <row r="35" spans="2:14" ht="21" customHeight="1">
      <c r="B35" s="5"/>
      <c r="C35" s="417"/>
      <c r="D35" s="417"/>
      <c r="E35" s="417"/>
      <c r="F35" s="417"/>
      <c r="G35" s="417"/>
      <c r="H35" s="417"/>
      <c r="I35" s="417"/>
      <c r="J35" s="417"/>
      <c r="K35" s="289"/>
      <c r="L35" s="212"/>
    </row>
    <row r="36" spans="2:14" ht="21" customHeight="1">
      <c r="B36" s="5"/>
      <c r="C36" s="417"/>
      <c r="D36" s="417"/>
      <c r="E36" s="417"/>
      <c r="F36" s="417"/>
      <c r="G36" s="417"/>
      <c r="H36" s="417"/>
      <c r="I36" s="417"/>
      <c r="J36" s="417"/>
      <c r="K36" s="289"/>
      <c r="L36" s="212"/>
    </row>
    <row r="37" spans="2:14" ht="21" customHeight="1">
      <c r="B37" s="5"/>
      <c r="C37" s="417"/>
      <c r="D37" s="417"/>
      <c r="E37" s="417"/>
      <c r="F37" s="417"/>
      <c r="G37" s="417"/>
      <c r="H37" s="417"/>
      <c r="I37" s="417"/>
      <c r="J37" s="417"/>
      <c r="K37" s="289"/>
      <c r="L37" s="212"/>
    </row>
    <row r="38" spans="2:14" ht="21" customHeight="1" thickBot="1">
      <c r="B38" s="5"/>
      <c r="C38" s="5"/>
      <c r="D38" s="5" t="s">
        <v>367</v>
      </c>
      <c r="E38" s="5"/>
      <c r="F38" s="5"/>
      <c r="G38" s="5"/>
      <c r="H38" s="5"/>
      <c r="I38" s="5"/>
      <c r="J38" s="5"/>
      <c r="K38" s="71"/>
      <c r="L38" s="213">
        <f>SUM(K31:K37)</f>
        <v>0</v>
      </c>
    </row>
    <row r="39" spans="2:14" ht="21" customHeight="1" thickBot="1">
      <c r="B39" t="s">
        <v>873</v>
      </c>
      <c r="K39" s="38"/>
      <c r="L39" s="214">
        <f>+L28+L38</f>
        <v>1461552.2899999996</v>
      </c>
      <c r="M39" s="204"/>
      <c r="N39" s="204"/>
    </row>
    <row r="40" spans="2:14" ht="14.4" thickTop="1">
      <c r="C40" t="s">
        <v>874</v>
      </c>
      <c r="L40" s="89"/>
    </row>
    <row r="41" spans="2:14">
      <c r="B41" t="str">
        <f>"# MAY NOT BE ANTICIPATED AS NON-CASH SURPLUS IN "&amp;TEXT('KEY INPUTS'!D33,"0")&amp;" BUDGET."</f>
        <v># MAY NOT BE ANTICIPATED AS NON-CASH SURPLUS IN 2025 BUDGET.</v>
      </c>
      <c r="L41" s="204"/>
    </row>
    <row r="42" spans="2:14">
      <c r="B42" t="s">
        <v>778</v>
      </c>
    </row>
    <row r="44" spans="2:14">
      <c r="B44" s="96" t="s">
        <v>3562</v>
      </c>
    </row>
    <row r="45" spans="2:14">
      <c r="B45" s="96" t="s">
        <v>3563</v>
      </c>
    </row>
    <row r="46" spans="2:14">
      <c r="B46" s="96" t="s">
        <v>0</v>
      </c>
    </row>
    <row r="50" spans="2:12" ht="13.8">
      <c r="B50" s="1130" t="s">
        <v>368</v>
      </c>
      <c r="C50" s="1130"/>
      <c r="D50" s="1130"/>
      <c r="E50" s="1130"/>
      <c r="F50" s="1130"/>
      <c r="G50" s="1130"/>
      <c r="H50" s="1130"/>
      <c r="I50" s="1130"/>
      <c r="J50" s="1130"/>
      <c r="K50" s="1130"/>
      <c r="L50" s="1130"/>
    </row>
    <row r="52" spans="2:12">
      <c r="L52" s="204"/>
    </row>
  </sheetData>
  <sheetProtection algorithmName="SHA-512" hashValue="6fQHgzGySOf2VLa2kVlOwLkGv/nB4XmuqdBvtvBc3yewQ377lc9+m9S9y1Vt2zNqbqT9YM2tpx0SzNLXmlxWsA==" saltValue="K35MQIcKBi1ZcQepGpPvZg==" spinCount="100000" sheet="1" objects="1" scenarios="1"/>
  <mergeCells count="6">
    <mergeCell ref="C31:G31"/>
    <mergeCell ref="B50:L50"/>
    <mergeCell ref="B3:L3"/>
    <mergeCell ref="B4:L4"/>
    <mergeCell ref="B19:L19"/>
    <mergeCell ref="B20:L20"/>
  </mergeCells>
  <phoneticPr fontId="0" type="noConversion"/>
  <pageMargins left="0.25" right="0.25" top="0.5" bottom="0.5" header="0.25" footer="0.25"/>
  <pageSetup paperSize="5" orientation="portrait" r:id="rId1"/>
  <headerFooter alignWithMargins="0"/>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
  <dimension ref="A2:Q63"/>
  <sheetViews>
    <sheetView topLeftCell="A25" zoomScaleNormal="100" workbookViewId="0">
      <selection activeCell="N27" sqref="N27"/>
    </sheetView>
  </sheetViews>
  <sheetFormatPr defaultRowHeight="13.2"/>
  <cols>
    <col min="1" max="1" width="4.6640625" customWidth="1"/>
    <col min="2" max="2" width="4.33203125" customWidth="1"/>
    <col min="3" max="3" width="5.33203125" customWidth="1"/>
    <col min="4" max="4" width="4.6640625" customWidth="1"/>
    <col min="5" max="5" width="6.44140625" customWidth="1"/>
    <col min="6" max="6" width="7.6640625" customWidth="1"/>
    <col min="7" max="7" width="2.6640625" customWidth="1"/>
    <col min="8" max="8" width="9.6640625" customWidth="1"/>
    <col min="9" max="9" width="1.6640625" customWidth="1"/>
    <col min="10" max="10" width="16.6640625" customWidth="1"/>
    <col min="11" max="11" width="1.6640625" customWidth="1"/>
    <col min="12" max="12" width="16.6640625" customWidth="1"/>
    <col min="13" max="13" width="1.6640625" customWidth="1"/>
    <col min="14" max="14" width="16.6640625" customWidth="1"/>
    <col min="15" max="15" width="13.5546875" bestFit="1" customWidth="1"/>
    <col min="17" max="17" width="10.88671875" bestFit="1" customWidth="1"/>
  </cols>
  <sheetData>
    <row r="2" spans="2:17" ht="15.6">
      <c r="B2" s="1168" t="s">
        <v>371</v>
      </c>
      <c r="C2" s="1168"/>
      <c r="D2" s="1168"/>
      <c r="E2" s="1168"/>
      <c r="F2" s="1168"/>
      <c r="G2" s="1168"/>
      <c r="H2" s="1168"/>
      <c r="I2" s="1168"/>
      <c r="J2" s="1168"/>
      <c r="K2" s="1168"/>
      <c r="L2" s="1168"/>
      <c r="M2" s="1168"/>
      <c r="N2" s="1168"/>
    </row>
    <row r="3" spans="2:17" ht="22.8">
      <c r="B3" s="1176" t="str">
        <f>"CURRENT TAXES - "&amp;TEXT('KEY INPUTS'!D34,"0")&amp; " LEVY"</f>
        <v>CURRENT TAXES - 2024 LEVY</v>
      </c>
      <c r="C3" s="1176"/>
      <c r="D3" s="1176"/>
      <c r="E3" s="1176"/>
      <c r="F3" s="1176"/>
      <c r="G3" s="1176"/>
      <c r="H3" s="1176"/>
      <c r="I3" s="1176"/>
      <c r="J3" s="1176"/>
      <c r="K3" s="1176"/>
      <c r="L3" s="1176"/>
      <c r="M3" s="1176"/>
      <c r="N3" s="1176"/>
    </row>
    <row r="5" spans="2:17">
      <c r="B5" s="81" t="s">
        <v>292</v>
      </c>
      <c r="C5" t="s">
        <v>372</v>
      </c>
      <c r="L5" s="38"/>
      <c r="M5" t="s">
        <v>373</v>
      </c>
      <c r="N5" s="511">
        <v>4474515.91</v>
      </c>
      <c r="O5" s="204"/>
      <c r="Q5" s="204"/>
    </row>
    <row r="6" spans="2:17">
      <c r="B6" s="81"/>
      <c r="G6" s="1" t="s">
        <v>374</v>
      </c>
      <c r="Q6" s="204"/>
    </row>
    <row r="7" spans="2:17">
      <c r="B7" s="81"/>
      <c r="F7" t="s">
        <v>375</v>
      </c>
      <c r="L7" s="38"/>
      <c r="M7" t="s">
        <v>373</v>
      </c>
      <c r="N7" s="431"/>
    </row>
    <row r="8" spans="2:17">
      <c r="B8" s="81"/>
    </row>
    <row r="9" spans="2:17">
      <c r="B9" s="81" t="s">
        <v>293</v>
      </c>
      <c r="C9" s="239" t="s">
        <v>3626</v>
      </c>
      <c r="L9" s="38"/>
      <c r="M9" t="s">
        <v>373</v>
      </c>
      <c r="N9" s="431"/>
    </row>
    <row r="10" spans="2:17">
      <c r="B10" s="81"/>
    </row>
    <row r="11" spans="2:17">
      <c r="B11" s="81" t="s">
        <v>294</v>
      </c>
      <c r="C11" t="s">
        <v>379</v>
      </c>
    </row>
    <row r="12" spans="2:17">
      <c r="B12" s="81"/>
      <c r="C12" t="s">
        <v>377</v>
      </c>
      <c r="L12" s="38"/>
      <c r="M12" t="s">
        <v>373</v>
      </c>
      <c r="N12" s="431"/>
      <c r="O12" s="204"/>
    </row>
    <row r="13" spans="2:17">
      <c r="B13" s="81"/>
    </row>
    <row r="14" spans="2:17">
      <c r="B14" s="81" t="s">
        <v>295</v>
      </c>
      <c r="C14" t="s">
        <v>376</v>
      </c>
    </row>
    <row r="15" spans="2:17">
      <c r="B15" s="81"/>
      <c r="C15" t="s">
        <v>378</v>
      </c>
      <c r="L15" s="38"/>
      <c r="M15" t="s">
        <v>373</v>
      </c>
      <c r="N15" s="431">
        <v>1936.85</v>
      </c>
    </row>
    <row r="16" spans="2:17">
      <c r="B16" s="81"/>
    </row>
    <row r="17" spans="2:15">
      <c r="B17" s="81" t="s">
        <v>380</v>
      </c>
      <c r="C17" t="str">
        <f>"Subtotal "&amp;TEXT('KEY INPUTS'!D34,"0")&amp;" Levy"</f>
        <v>Subtotal 2024 Levy</v>
      </c>
      <c r="I17" t="s">
        <v>373</v>
      </c>
      <c r="J17" s="237">
        <f>SUM(N5:N15)</f>
        <v>4476452.76</v>
      </c>
    </row>
    <row r="18" spans="2:15">
      <c r="B18" s="81" t="s">
        <v>381</v>
      </c>
      <c r="C18" s="239" t="s">
        <v>3627</v>
      </c>
      <c r="I18" t="s">
        <v>373</v>
      </c>
      <c r="J18" s="431"/>
    </row>
    <row r="19" spans="2:15" ht="13.8" thickBot="1">
      <c r="B19" s="81" t="s">
        <v>382</v>
      </c>
      <c r="C19" t="str">
        <f>"Total "&amp;TEXT('KEY INPUTS'!D34,"0") &amp; " Tax Levy"</f>
        <v>Total 2024 Tax Levy</v>
      </c>
      <c r="L19" s="38"/>
      <c r="M19" t="s">
        <v>373</v>
      </c>
      <c r="N19" s="286">
        <f>+J17-J18</f>
        <v>4476452.76</v>
      </c>
    </row>
    <row r="20" spans="2:15" ht="13.8" thickTop="1">
      <c r="B20" s="81"/>
    </row>
    <row r="21" spans="2:15" ht="21" customHeight="1">
      <c r="B21" s="81" t="s">
        <v>297</v>
      </c>
      <c r="C21" t="s">
        <v>162</v>
      </c>
      <c r="L21" s="38"/>
      <c r="M21" t="s">
        <v>373</v>
      </c>
      <c r="N21" s="431">
        <v>8254.5300000000007</v>
      </c>
      <c r="O21" s="204"/>
    </row>
    <row r="22" spans="2:15" ht="21" customHeight="1">
      <c r="B22" s="81" t="s">
        <v>298</v>
      </c>
      <c r="C22" t="s">
        <v>383</v>
      </c>
      <c r="L22" s="38"/>
      <c r="M22" t="s">
        <v>373</v>
      </c>
      <c r="N22" s="431"/>
    </row>
    <row r="23" spans="2:15" ht="21" customHeight="1">
      <c r="B23" s="81" t="s">
        <v>384</v>
      </c>
      <c r="C23" t="s">
        <v>826</v>
      </c>
      <c r="L23" s="38"/>
      <c r="M23" t="s">
        <v>373</v>
      </c>
      <c r="N23" s="431">
        <v>-33.54</v>
      </c>
      <c r="O23" s="204"/>
    </row>
    <row r="24" spans="2:15" ht="21" customHeight="1">
      <c r="B24" s="81" t="s">
        <v>385</v>
      </c>
      <c r="C24" t="s">
        <v>827</v>
      </c>
      <c r="L24" s="38"/>
      <c r="M24" t="s">
        <v>373</v>
      </c>
      <c r="N24" s="431"/>
    </row>
    <row r="25" spans="2:15" ht="21" customHeight="1">
      <c r="B25" s="81" t="s">
        <v>386</v>
      </c>
      <c r="C25" t="str">
        <f>"Collected in Cash:  In "&amp;TEXT('KEY INPUTS'!D35,"0")</f>
        <v>Collected in Cash:  In 2023</v>
      </c>
      <c r="J25" s="38"/>
      <c r="K25" t="s">
        <v>373</v>
      </c>
      <c r="L25" s="431">
        <v>14687.5</v>
      </c>
      <c r="O25" s="204"/>
    </row>
    <row r="26" spans="2:15" ht="21" customHeight="1">
      <c r="B26" s="81"/>
      <c r="F26" s="247" t="str">
        <f>"In "&amp;TEXT('KEY INPUTS'!D34,"0")&amp;"*"</f>
        <v>In 2024*</v>
      </c>
      <c r="J26" s="38"/>
      <c r="K26" t="s">
        <v>373</v>
      </c>
      <c r="L26" s="431">
        <f>4356044.2+281.25-224.34-6729.29</f>
        <v>4349371.82</v>
      </c>
      <c r="O26" s="204"/>
    </row>
    <row r="27" spans="2:15" ht="21" customHeight="1">
      <c r="B27" s="81"/>
      <c r="C27" t="s">
        <v>890</v>
      </c>
      <c r="J27" s="38"/>
      <c r="K27" t="s">
        <v>373</v>
      </c>
      <c r="L27" s="431"/>
    </row>
    <row r="28" spans="2:15">
      <c r="B28" s="81"/>
    </row>
    <row r="29" spans="2:15">
      <c r="B29" s="81"/>
      <c r="C29" t="str">
        <f>"State's Share of "&amp;TEXT('KEY INPUTS'!D34,"0")&amp;" Senior Citizens"</f>
        <v>State's Share of 2024 Senior Citizens</v>
      </c>
    </row>
    <row r="30" spans="2:15">
      <c r="B30" s="81"/>
      <c r="C30" t="s">
        <v>221</v>
      </c>
      <c r="J30" s="38"/>
      <c r="K30" t="s">
        <v>373</v>
      </c>
      <c r="L30" s="237">
        <f>+'23-SCVet Deductions'!G37</f>
        <v>7000</v>
      </c>
    </row>
    <row r="31" spans="2:15">
      <c r="B31" s="81"/>
    </row>
    <row r="32" spans="2:15" ht="13.8" thickBot="1">
      <c r="B32" s="81"/>
      <c r="C32" t="s">
        <v>222</v>
      </c>
      <c r="J32" s="38"/>
      <c r="K32" t="s">
        <v>373</v>
      </c>
      <c r="L32" s="80">
        <f>SUM(L25:L30)</f>
        <v>4371059.32</v>
      </c>
    </row>
    <row r="33" spans="2:15" ht="13.8" thickTop="1">
      <c r="B33" s="81"/>
    </row>
    <row r="34" spans="2:15" ht="21" customHeight="1" thickBot="1">
      <c r="B34" s="81" t="s">
        <v>223</v>
      </c>
      <c r="C34" t="s">
        <v>224</v>
      </c>
      <c r="M34" t="s">
        <v>373</v>
      </c>
      <c r="N34" s="80">
        <f>+SUM(N21:N24)+L32</f>
        <v>4379280.3100000005</v>
      </c>
    </row>
    <row r="35" spans="2:15" ht="21" customHeight="1" thickTop="1">
      <c r="B35" s="81" t="s">
        <v>225</v>
      </c>
      <c r="C35" t="str">
        <f>"Amount Outstanding December 31, "&amp;TEXT('KEY INPUTS'!D34,"0")</f>
        <v>Amount Outstanding December 31, 2024</v>
      </c>
      <c r="L35" s="38"/>
      <c r="M35" t="s">
        <v>373</v>
      </c>
      <c r="N35" s="63">
        <f>+N19-N34</f>
        <v>97172.449999999255</v>
      </c>
      <c r="O35" s="204"/>
    </row>
    <row r="36" spans="2:15">
      <c r="B36" s="81"/>
      <c r="N36" s="204"/>
    </row>
    <row r="37" spans="2:15">
      <c r="B37" s="81" t="s">
        <v>226</v>
      </c>
      <c r="C37" t="str">
        <f>"Percentage of Cash Collections to Total "&amp;TEXT('KEY INPUTS'!D34,"0")&amp;" Levy,"</f>
        <v>Percentage of Cash Collections to Total 2024 Levy,</v>
      </c>
      <c r="N37" s="204"/>
    </row>
    <row r="38" spans="2:15" ht="15.6">
      <c r="B38" s="81"/>
      <c r="C38" t="s">
        <v>228</v>
      </c>
      <c r="H38" s="587">
        <f>TRUNC(+L32/N19, 4)</f>
        <v>0.97640000000000005</v>
      </c>
      <c r="O38" s="204"/>
    </row>
    <row r="39" spans="2:15">
      <c r="B39" s="81"/>
      <c r="H39" s="54"/>
    </row>
    <row r="40" spans="2:15">
      <c r="B40" s="81"/>
    </row>
    <row r="41" spans="2:15">
      <c r="B41" s="87" t="s">
        <v>3628</v>
      </c>
    </row>
    <row r="42" spans="2:15">
      <c r="B42" s="81"/>
    </row>
    <row r="43" spans="2:15">
      <c r="B43" s="81" t="s">
        <v>564</v>
      </c>
      <c r="C43" s="37" t="s">
        <v>565</v>
      </c>
    </row>
    <row r="44" spans="2:15">
      <c r="B44" s="81"/>
    </row>
    <row r="45" spans="2:15">
      <c r="B45" s="81"/>
      <c r="C45" t="s">
        <v>566</v>
      </c>
      <c r="K45" t="s">
        <v>373</v>
      </c>
      <c r="L45" s="63">
        <f>+L32</f>
        <v>4371059.32</v>
      </c>
    </row>
    <row r="46" spans="2:15">
      <c r="B46" s="81"/>
      <c r="C46" t="s">
        <v>567</v>
      </c>
      <c r="D46" t="s">
        <v>568</v>
      </c>
    </row>
    <row r="47" spans="2:15">
      <c r="B47" s="81"/>
      <c r="D47" t="s">
        <v>569</v>
      </c>
      <c r="K47" t="s">
        <v>373</v>
      </c>
      <c r="L47" s="431"/>
    </row>
    <row r="48" spans="2:15" ht="21" customHeight="1">
      <c r="B48" s="81"/>
      <c r="C48" t="s">
        <v>570</v>
      </c>
      <c r="K48" t="s">
        <v>373</v>
      </c>
      <c r="L48" s="63">
        <f>+L45-L47</f>
        <v>4371059.32</v>
      </c>
    </row>
    <row r="49" spans="1:14">
      <c r="B49" s="81"/>
    </row>
    <row r="50" spans="1:14">
      <c r="A50" s="96"/>
      <c r="B50" s="187" t="s">
        <v>1</v>
      </c>
      <c r="C50" s="96" t="s">
        <v>2</v>
      </c>
    </row>
    <row r="51" spans="1:14">
      <c r="A51" s="96"/>
      <c r="B51" s="96"/>
      <c r="C51" s="96" t="s">
        <v>3</v>
      </c>
    </row>
    <row r="52" spans="1:14">
      <c r="A52" s="96"/>
      <c r="B52" s="96"/>
      <c r="C52" s="96" t="s">
        <v>722</v>
      </c>
    </row>
    <row r="53" spans="1:14">
      <c r="A53" s="96"/>
      <c r="B53" s="96"/>
      <c r="C53" s="188" t="s">
        <v>289</v>
      </c>
    </row>
    <row r="54" spans="1:14">
      <c r="A54" s="96"/>
      <c r="B54" s="96"/>
      <c r="C54" s="96" t="s">
        <v>733</v>
      </c>
    </row>
    <row r="56" spans="1:14">
      <c r="A56" s="96"/>
      <c r="B56" s="187" t="s">
        <v>734</v>
      </c>
      <c r="C56" s="96" t="s">
        <v>358</v>
      </c>
    </row>
    <row r="57" spans="1:14">
      <c r="A57" s="96"/>
      <c r="B57" s="96"/>
      <c r="C57" s="96" t="s">
        <v>359</v>
      </c>
    </row>
    <row r="60" spans="1:14">
      <c r="A60" s="96"/>
      <c r="B60" s="96" t="str">
        <f>"* Include overpayments applied as part of "&amp;TEXT('KEY INPUTS'!D34,"0")&amp;" collections."</f>
        <v>* Include overpayments applied as part of 2024 collections.</v>
      </c>
      <c r="C60" s="96"/>
    </row>
    <row r="61" spans="1:14">
      <c r="A61" s="96"/>
      <c r="B61" s="96" t="s">
        <v>360</v>
      </c>
      <c r="C61" s="96"/>
      <c r="D61" s="96"/>
      <c r="E61" s="96"/>
    </row>
    <row r="62" spans="1:14">
      <c r="B62" s="96"/>
      <c r="C62" s="96"/>
      <c r="D62" s="96" t="s">
        <v>64</v>
      </c>
      <c r="E62" s="96"/>
    </row>
    <row r="63" spans="1:14" ht="13.8">
      <c r="B63" s="1130" t="s">
        <v>227</v>
      </c>
      <c r="C63" s="1130"/>
      <c r="D63" s="1130"/>
      <c r="E63" s="1130"/>
      <c r="F63" s="1130"/>
      <c r="G63" s="1130"/>
      <c r="H63" s="1130"/>
      <c r="I63" s="1130"/>
      <c r="J63" s="1130"/>
      <c r="K63" s="1130"/>
      <c r="L63" s="1130"/>
      <c r="M63" s="1130"/>
      <c r="N63" s="1130"/>
    </row>
  </sheetData>
  <sheetProtection algorithmName="SHA-512" hashValue="diLfny66rr7qY4wKpK+9jb9Esjy9fGXMjMJ8u9FljhMxpRpK9iqNepsknoRa0asaDvK1dRGBv1d0tlbnFJRkvA==" saltValue="VMsBz5lagfVaf4VsE3JI3Q==" spinCount="100000" sheet="1" objects="1" scenarios="1"/>
  <mergeCells count="3">
    <mergeCell ref="B2:N2"/>
    <mergeCell ref="B3:N3"/>
    <mergeCell ref="B63:N63"/>
  </mergeCells>
  <phoneticPr fontId="0" type="noConversion"/>
  <pageMargins left="0.25" right="0.25" top="0.5" bottom="0.5" header="0.25" footer="0.25"/>
  <pageSetup paperSize="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1794" r:id="rId4" name="Check Box 2">
              <controlPr locked="0" defaultSize="0" autoFill="0" autoLine="0" autoPict="0" altText="">
                <anchor moveWithCells="1">
                  <from>
                    <xdr:col>11</xdr:col>
                    <xdr:colOff>845820</xdr:colOff>
                    <xdr:row>39</xdr:row>
                    <xdr:rowOff>121920</xdr:rowOff>
                  </from>
                  <to>
                    <xdr:col>12</xdr:col>
                    <xdr:colOff>38100</xdr:colOff>
                    <xdr:row>41</xdr:row>
                    <xdr:rowOff>22860</xdr:rowOff>
                  </to>
                </anchor>
              </controlPr>
            </control>
          </mc:Choice>
        </mc:AlternateContent>
      </controls>
    </mc:Choice>
  </mc:AlternateConten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21"/>
  <dimension ref="B4:N61"/>
  <sheetViews>
    <sheetView topLeftCell="A24" zoomScaleNormal="100" workbookViewId="0">
      <selection activeCell="O16" sqref="O16"/>
    </sheetView>
  </sheetViews>
  <sheetFormatPr defaultRowHeight="13.2"/>
  <cols>
    <col min="1" max="1" width="4.6640625" customWidth="1"/>
    <col min="10" max="10" width="1.6640625" customWidth="1"/>
    <col min="11" max="11" width="16.6640625" customWidth="1"/>
  </cols>
  <sheetData>
    <row r="4" spans="2:14" ht="17.399999999999999">
      <c r="B4" s="1186" t="s">
        <v>571</v>
      </c>
      <c r="C4" s="1186"/>
      <c r="D4" s="1186"/>
      <c r="E4" s="1186"/>
      <c r="F4" s="1186"/>
      <c r="G4" s="1186"/>
      <c r="H4" s="1186"/>
      <c r="I4" s="1186"/>
      <c r="J4" s="1186"/>
      <c r="K4" s="1186"/>
    </row>
    <row r="6" spans="2:14" ht="15.6">
      <c r="B6" s="1132" t="str">
        <f xml:space="preserve"> "To Calculate Underlying Tax Collection Rate for "&amp;TEXT('KEY INPUTS'!D34,"0")</f>
        <v>To Calculate Underlying Tax Collection Rate for 2024</v>
      </c>
      <c r="C6" s="1132"/>
      <c r="D6" s="1132"/>
      <c r="E6" s="1132"/>
      <c r="F6" s="1132"/>
      <c r="G6" s="1132"/>
      <c r="H6" s="1132"/>
      <c r="I6" s="1132"/>
      <c r="J6" s="1132"/>
      <c r="K6" s="1132"/>
    </row>
    <row r="8" spans="2:14">
      <c r="B8" s="1174" t="s">
        <v>675</v>
      </c>
      <c r="C8" s="1174"/>
      <c r="D8" s="1174"/>
      <c r="E8" s="1174"/>
      <c r="F8" s="1174"/>
      <c r="G8" s="1174"/>
      <c r="H8" s="1174"/>
      <c r="I8" s="1174"/>
      <c r="J8" s="1174"/>
      <c r="K8" s="1174"/>
    </row>
    <row r="9" spans="2:14">
      <c r="B9" s="1239" t="s">
        <v>3630</v>
      </c>
      <c r="C9" s="1174"/>
      <c r="D9" s="1174"/>
      <c r="E9" s="1174"/>
      <c r="F9" s="1174"/>
      <c r="G9" s="1174"/>
      <c r="H9" s="1174"/>
      <c r="I9" s="1174"/>
      <c r="J9" s="1174"/>
      <c r="K9" s="1174"/>
      <c r="N9" s="294"/>
    </row>
    <row r="13" spans="2:14" ht="13.8">
      <c r="B13" s="88" t="s">
        <v>676</v>
      </c>
    </row>
    <row r="16" spans="2:14" ht="27.9" customHeight="1">
      <c r="B16" s="89" t="s">
        <v>677</v>
      </c>
      <c r="J16" t="s">
        <v>373</v>
      </c>
      <c r="K16" s="634">
        <f>+'22-CY Levy'!L32</f>
        <v>4371059.32</v>
      </c>
    </row>
    <row r="17" spans="2:11" ht="27.9" customHeight="1">
      <c r="B17" s="90" t="s">
        <v>678</v>
      </c>
      <c r="K17" s="429"/>
    </row>
    <row r="18" spans="2:11" ht="27.9" customHeight="1">
      <c r="D18" s="88" t="s">
        <v>163</v>
      </c>
      <c r="J18" t="s">
        <v>373</v>
      </c>
      <c r="K18" s="709">
        <f>K16-K17</f>
        <v>4371059.32</v>
      </c>
    </row>
    <row r="19" spans="2:11" ht="27.75" customHeight="1">
      <c r="B19" s="89" t="str">
        <f>"Line 5c (sheet 22) Total "&amp;TEXT('KEY INPUTS'!D34,"0")&amp;" Tax Levy"</f>
        <v>Line 5c (sheet 22) Total 2024 Tax Levy</v>
      </c>
      <c r="J19" t="s">
        <v>373</v>
      </c>
      <c r="K19" s="509">
        <f>+'22-CY Levy'!N19</f>
        <v>4476452.76</v>
      </c>
    </row>
    <row r="21" spans="2:11" ht="13.8">
      <c r="B21" s="89" t="s">
        <v>679</v>
      </c>
    </row>
    <row r="22" spans="2:11" ht="13.8">
      <c r="B22" s="89" t="s">
        <v>680</v>
      </c>
      <c r="K22" s="588">
        <f>+K18/K19</f>
        <v>0.97645603658732694</v>
      </c>
    </row>
    <row r="28" spans="2:11">
      <c r="B28" s="30"/>
      <c r="C28" s="30"/>
      <c r="D28" s="30"/>
      <c r="E28" s="30"/>
      <c r="F28" s="30"/>
      <c r="G28" s="30"/>
      <c r="H28" s="30"/>
      <c r="I28" s="30"/>
      <c r="J28" s="30"/>
      <c r="K28" s="30"/>
    </row>
    <row r="29" spans="2:11" ht="3.75" customHeight="1" thickBot="1">
      <c r="B29" s="91"/>
      <c r="C29" s="91"/>
      <c r="D29" s="91"/>
      <c r="E29" s="91"/>
      <c r="F29" s="91"/>
      <c r="G29" s="91"/>
      <c r="H29" s="91"/>
      <c r="I29" s="91"/>
      <c r="J29" s="91"/>
      <c r="K29" s="91"/>
    </row>
    <row r="30" spans="2:11" ht="4.5" customHeight="1" thickTop="1">
      <c r="B30" s="92"/>
      <c r="C30" s="92"/>
      <c r="D30" s="92"/>
      <c r="E30" s="92"/>
      <c r="F30" s="92"/>
      <c r="G30" s="92"/>
      <c r="H30" s="92"/>
      <c r="I30" s="92"/>
      <c r="J30" s="92"/>
      <c r="K30" s="92"/>
    </row>
    <row r="34" spans="2:11" ht="13.8">
      <c r="B34" s="88" t="s">
        <v>682</v>
      </c>
    </row>
    <row r="37" spans="2:11" ht="27.9" customHeight="1">
      <c r="B37" s="89" t="s">
        <v>677</v>
      </c>
      <c r="J37" t="s">
        <v>373</v>
      </c>
      <c r="K37" s="589">
        <f>+'22-CY Levy'!L32</f>
        <v>4371059.32</v>
      </c>
    </row>
    <row r="38" spans="2:11" ht="27.9" customHeight="1">
      <c r="B38" s="90" t="s">
        <v>3629</v>
      </c>
      <c r="K38" s="429"/>
    </row>
    <row r="39" spans="2:11" ht="27.9" customHeight="1">
      <c r="D39" s="88" t="s">
        <v>163</v>
      </c>
      <c r="J39" t="s">
        <v>373</v>
      </c>
      <c r="K39" s="709">
        <f>K37-K38</f>
        <v>4371059.32</v>
      </c>
    </row>
    <row r="40" spans="2:11" ht="27.9" customHeight="1">
      <c r="B40" s="89" t="str">
        <f>B19</f>
        <v>Line 5c (sheet 22) Total 2024 Tax Levy</v>
      </c>
      <c r="J40" t="s">
        <v>373</v>
      </c>
      <c r="K40" s="509">
        <f>+'22-CY Levy'!N19</f>
        <v>4476452.76</v>
      </c>
    </row>
    <row r="41" spans="2:11" ht="13.8">
      <c r="B41" s="89"/>
    </row>
    <row r="42" spans="2:11" ht="13.8">
      <c r="B42" s="89" t="s">
        <v>5</v>
      </c>
    </row>
    <row r="43" spans="2:11" ht="13.8">
      <c r="B43" s="89" t="s">
        <v>680</v>
      </c>
      <c r="K43" s="986">
        <f>IFERROR(K39/K40,"NO ENTRY")</f>
        <v>0.97645603658732694</v>
      </c>
    </row>
    <row r="61" spans="2:11" ht="13.8">
      <c r="B61" s="1130" t="s">
        <v>681</v>
      </c>
      <c r="C61" s="1130"/>
      <c r="D61" s="1130"/>
      <c r="E61" s="1130"/>
      <c r="F61" s="1130"/>
      <c r="G61" s="1130"/>
      <c r="H61" s="1130"/>
      <c r="I61" s="1130"/>
      <c r="J61" s="1130"/>
      <c r="K61" s="1130"/>
    </row>
  </sheetData>
  <sheetProtection algorithmName="SHA-512" hashValue="xp4Ddggi3dTk3hOzjRk8PIS12FB9osCO7Fuyw9i5CFivo+QdYH5TKme38JvEfGqo2zB+/Za+rPBykCc69QKjhQ==" saltValue="j9swabrDOO5Z25dA6VBPtg==" spinCount="100000" sheet="1" objects="1" scenarios="1"/>
  <mergeCells count="5">
    <mergeCell ref="B61:K61"/>
    <mergeCell ref="B4:K4"/>
    <mergeCell ref="B6:K6"/>
    <mergeCell ref="B8:K8"/>
    <mergeCell ref="B9:K9"/>
  </mergeCells>
  <phoneticPr fontId="0" type="noConversion"/>
  <pageMargins left="0.25" right="0.25" top="0.5" bottom="0.5" header="0.25" footer="0.25"/>
  <pageSetup paperSize="5"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22"/>
  <dimension ref="B3:L54"/>
  <sheetViews>
    <sheetView topLeftCell="A13" zoomScaleNormal="100" workbookViewId="0">
      <selection activeCell="J14" sqref="J14"/>
    </sheetView>
  </sheetViews>
  <sheetFormatPr defaultRowHeight="13.2"/>
  <cols>
    <col min="1" max="1" width="3.6640625" customWidth="1"/>
    <col min="2" max="4" width="4.6640625" customWidth="1"/>
    <col min="7" max="7" width="21.6640625" customWidth="1"/>
    <col min="9" max="10" width="16.6640625" customWidth="1"/>
    <col min="11" max="11" width="10.88671875" bestFit="1" customWidth="1"/>
  </cols>
  <sheetData>
    <row r="3" spans="2:12" ht="21">
      <c r="B3" s="1131" t="s">
        <v>6</v>
      </c>
      <c r="C3" s="1131"/>
      <c r="D3" s="1131"/>
      <c r="E3" s="1131"/>
      <c r="F3" s="1131"/>
      <c r="G3" s="1131"/>
      <c r="H3" s="1131"/>
      <c r="I3" s="1131"/>
      <c r="J3" s="1131"/>
      <c r="K3" s="549"/>
    </row>
    <row r="4" spans="2:12" ht="21">
      <c r="B4" s="1131" t="s">
        <v>7</v>
      </c>
      <c r="C4" s="1131"/>
      <c r="D4" s="1131"/>
      <c r="E4" s="1131"/>
      <c r="F4" s="1131"/>
      <c r="G4" s="1131"/>
      <c r="H4" s="1131"/>
      <c r="I4" s="1131"/>
      <c r="J4" s="1131"/>
      <c r="K4" s="549"/>
    </row>
    <row r="5" spans="2:12" ht="13.8" thickBot="1"/>
    <row r="6" spans="2:12" ht="26.1" customHeight="1" thickTop="1" thickBot="1">
      <c r="B6" s="58"/>
      <c r="C6" s="58"/>
      <c r="D6" s="58"/>
      <c r="E6" s="58"/>
      <c r="F6" s="58"/>
      <c r="G6" s="58"/>
      <c r="H6" s="58"/>
      <c r="I6" s="4" t="s">
        <v>96</v>
      </c>
      <c r="J6" s="3" t="s">
        <v>97</v>
      </c>
    </row>
    <row r="7" spans="2:12" ht="21" customHeight="1" thickTop="1">
      <c r="B7" s="82" t="s">
        <v>292</v>
      </c>
      <c r="C7" s="22" t="str">
        <f>'21-Current Fund Surplus'!C7</f>
        <v>Balance - January 1, 2024</v>
      </c>
      <c r="D7" s="22"/>
      <c r="E7" s="22"/>
      <c r="F7" s="22"/>
      <c r="G7" s="22"/>
      <c r="H7" s="23"/>
      <c r="I7" s="137" t="s">
        <v>627</v>
      </c>
      <c r="J7" s="182" t="s">
        <v>627</v>
      </c>
    </row>
    <row r="8" spans="2:12" ht="21" customHeight="1">
      <c r="B8" s="83"/>
      <c r="C8" s="5"/>
      <c r="D8" s="5" t="s">
        <v>271</v>
      </c>
      <c r="E8" s="5"/>
      <c r="F8" s="5"/>
      <c r="G8" s="5"/>
      <c r="H8" s="24"/>
      <c r="I8" s="291"/>
      <c r="J8" s="716" t="s">
        <v>627</v>
      </c>
      <c r="K8" s="204"/>
    </row>
    <row r="9" spans="2:12" ht="21" customHeight="1">
      <c r="B9" s="83"/>
      <c r="C9" s="5"/>
      <c r="D9" s="5" t="s">
        <v>272</v>
      </c>
      <c r="E9" s="5"/>
      <c r="F9" s="5"/>
      <c r="G9" s="5"/>
      <c r="H9" s="24"/>
      <c r="I9" s="138" t="s">
        <v>627</v>
      </c>
      <c r="J9" s="433">
        <v>4893.2</v>
      </c>
    </row>
    <row r="10" spans="2:12" ht="21" customHeight="1">
      <c r="B10" s="83" t="s">
        <v>293</v>
      </c>
      <c r="C10" s="5" t="s">
        <v>3592</v>
      </c>
      <c r="D10" s="5"/>
      <c r="E10" s="5"/>
      <c r="F10" s="5"/>
      <c r="G10" s="5"/>
      <c r="H10" s="24"/>
      <c r="I10" s="291">
        <v>7500</v>
      </c>
      <c r="J10" s="716" t="s">
        <v>627</v>
      </c>
    </row>
    <row r="11" spans="2:12" ht="21" customHeight="1">
      <c r="B11" s="83" t="s">
        <v>294</v>
      </c>
      <c r="C11" s="5" t="s">
        <v>721</v>
      </c>
      <c r="D11" s="5"/>
      <c r="E11" s="5"/>
      <c r="F11" s="5"/>
      <c r="G11" s="5"/>
      <c r="H11" s="24"/>
      <c r="I11" s="291"/>
      <c r="J11" s="716" t="s">
        <v>627</v>
      </c>
      <c r="K11" s="204"/>
      <c r="L11" s="294"/>
    </row>
    <row r="12" spans="2:12" ht="21" customHeight="1">
      <c r="B12" s="83" t="s">
        <v>295</v>
      </c>
      <c r="C12" s="263" t="s">
        <v>3384</v>
      </c>
      <c r="D12" s="5"/>
      <c r="E12" s="5"/>
      <c r="F12" s="5"/>
      <c r="G12" s="5"/>
      <c r="H12" s="24"/>
      <c r="I12" s="291"/>
      <c r="J12" s="716" t="s">
        <v>627</v>
      </c>
    </row>
    <row r="13" spans="2:12" ht="21" customHeight="1">
      <c r="B13" s="83" t="s">
        <v>296</v>
      </c>
      <c r="C13" s="5" t="str">
        <f>"Deductions Allowed By Tax Collector - Prior Year Taxes ("&amp;TEXT('KEY INPUTS'!D35,"0")&amp;")"</f>
        <v>Deductions Allowed By Tax Collector - Prior Year Taxes (2023)</v>
      </c>
      <c r="D13" s="5"/>
      <c r="E13" s="5"/>
      <c r="F13" s="5"/>
      <c r="G13" s="5"/>
      <c r="H13" s="24"/>
      <c r="I13" s="291"/>
      <c r="J13" s="433"/>
      <c r="K13" s="204"/>
    </row>
    <row r="14" spans="2:12" ht="21" customHeight="1">
      <c r="B14" s="83" t="s">
        <v>297</v>
      </c>
      <c r="C14" s="417"/>
      <c r="D14" s="417"/>
      <c r="E14" s="417"/>
      <c r="F14" s="417"/>
      <c r="G14" s="417"/>
      <c r="H14" s="423"/>
      <c r="I14" s="291"/>
      <c r="J14" s="433"/>
    </row>
    <row r="15" spans="2:12" ht="21" customHeight="1">
      <c r="B15" s="83" t="s">
        <v>298</v>
      </c>
      <c r="C15" s="263" t="s">
        <v>3385</v>
      </c>
      <c r="D15" s="5"/>
      <c r="E15" s="5"/>
      <c r="F15" s="5"/>
      <c r="G15" s="5"/>
      <c r="H15" s="24"/>
      <c r="I15" s="254" t="s">
        <v>627</v>
      </c>
      <c r="J15" s="433">
        <v>500</v>
      </c>
    </row>
    <row r="16" spans="2:12" ht="21" customHeight="1">
      <c r="B16" s="83" t="s">
        <v>384</v>
      </c>
      <c r="C16" s="248" t="str">
        <f>"Deductions Disallowed By Tax Collector - Prior Year Taxes ("&amp;TEXT('KEY INPUTS'!D35,"0")&amp;")"</f>
        <v>Deductions Disallowed By Tax Collector - Prior Year Taxes (2023)</v>
      </c>
      <c r="D16" s="5"/>
      <c r="E16" s="5"/>
      <c r="F16" s="5"/>
      <c r="G16" s="5"/>
      <c r="H16" s="24"/>
      <c r="I16" s="138" t="s">
        <v>627</v>
      </c>
      <c r="J16" s="433">
        <v>250</v>
      </c>
    </row>
    <row r="17" spans="2:12" ht="21" customHeight="1">
      <c r="B17" s="83" t="s">
        <v>385</v>
      </c>
      <c r="C17" s="5" t="s">
        <v>452</v>
      </c>
      <c r="D17" s="5"/>
      <c r="E17" s="5"/>
      <c r="F17" s="5"/>
      <c r="G17" s="5"/>
      <c r="H17" s="24"/>
      <c r="I17" s="138" t="s">
        <v>627</v>
      </c>
      <c r="J17" s="433">
        <v>6885</v>
      </c>
    </row>
    <row r="18" spans="2:12" ht="21" customHeight="1">
      <c r="B18" s="83" t="s">
        <v>386</v>
      </c>
      <c r="C18" s="417"/>
      <c r="D18" s="417"/>
      <c r="E18" s="417"/>
      <c r="F18" s="417"/>
      <c r="G18" s="417"/>
      <c r="H18" s="423"/>
      <c r="I18" s="291"/>
      <c r="J18" s="433"/>
    </row>
    <row r="19" spans="2:12" ht="21" customHeight="1">
      <c r="B19" s="83" t="s">
        <v>223</v>
      </c>
      <c r="C19" s="417"/>
      <c r="D19" s="417"/>
      <c r="E19" s="417"/>
      <c r="F19" s="417"/>
      <c r="G19" s="417"/>
      <c r="H19" s="423"/>
      <c r="I19" s="291"/>
      <c r="J19" s="433"/>
    </row>
    <row r="20" spans="2:12" ht="21" customHeight="1">
      <c r="B20" s="83" t="s">
        <v>225</v>
      </c>
      <c r="C20" s="5" t="str">
        <f>'21-Current Fund Surplus'!C14</f>
        <v>Balance - December 31, 2024</v>
      </c>
      <c r="D20" s="5"/>
      <c r="E20" s="5"/>
      <c r="F20" s="5"/>
      <c r="G20" s="5"/>
      <c r="H20" s="24"/>
      <c r="I20" s="702" t="s">
        <v>627</v>
      </c>
      <c r="J20" s="710" t="s">
        <v>627</v>
      </c>
      <c r="K20" s="552">
        <f>SUM(I7:I20)-SUM(J7:J20)</f>
        <v>-5028.2000000000007</v>
      </c>
      <c r="L20" s="550" t="s">
        <v>3353</v>
      </c>
    </row>
    <row r="21" spans="2:12" ht="21" customHeight="1">
      <c r="B21" s="83"/>
      <c r="C21" s="5"/>
      <c r="D21" s="5" t="s">
        <v>271</v>
      </c>
      <c r="E21" s="5"/>
      <c r="F21" s="5"/>
      <c r="G21" s="5"/>
      <c r="H21" s="24"/>
      <c r="I21" s="702" t="s">
        <v>627</v>
      </c>
      <c r="J21" s="711">
        <f>IF(K20&gt;0,K20,0)</f>
        <v>0</v>
      </c>
      <c r="K21" s="554"/>
    </row>
    <row r="22" spans="2:12" ht="21" customHeight="1">
      <c r="B22" s="83"/>
      <c r="C22" s="5"/>
      <c r="D22" s="5" t="s">
        <v>272</v>
      </c>
      <c r="E22" s="5"/>
      <c r="F22" s="5"/>
      <c r="G22" s="5"/>
      <c r="H22" s="24"/>
      <c r="I22" s="704">
        <f>IF(K20&gt;0,0,K20)*-1</f>
        <v>5028.2000000000007</v>
      </c>
      <c r="J22" s="710" t="s">
        <v>627</v>
      </c>
      <c r="K22" s="296"/>
    </row>
    <row r="23" spans="2:12" ht="21" customHeight="1" thickBot="1">
      <c r="B23" s="81"/>
      <c r="I23" s="639">
        <f>SUM(I7:I22)</f>
        <v>12528.2</v>
      </c>
      <c r="J23" s="712">
        <f>SUM(J7:J22)</f>
        <v>12528.2</v>
      </c>
    </row>
    <row r="24" spans="2:12" ht="13.8" thickTop="1">
      <c r="B24" s="81"/>
    </row>
    <row r="25" spans="2:12">
      <c r="B25" s="81"/>
      <c r="J25" s="204"/>
    </row>
    <row r="26" spans="2:12">
      <c r="B26" s="81"/>
    </row>
    <row r="27" spans="2:12">
      <c r="B27" s="81"/>
    </row>
    <row r="28" spans="2:12">
      <c r="B28" s="81"/>
    </row>
    <row r="29" spans="2:12">
      <c r="B29" s="93" t="s">
        <v>8</v>
      </c>
    </row>
    <row r="30" spans="2:12">
      <c r="B30" s="242" t="str">
        <f>IF('KEY INPUTS'!C42="State Fiscal Year","Fiscal Year "&amp;'KEY INPUTS'!D33&amp;"",'KEY INPUTS'!D34)&amp;" Senior Citizens and Veterans Deductions Allowed"</f>
        <v>2024 Senior Citizens and Veterans Deductions Allowed</v>
      </c>
    </row>
    <row r="31" spans="2:12">
      <c r="B31" s="81"/>
    </row>
    <row r="32" spans="2:12" ht="21" customHeight="1">
      <c r="B32" s="93" t="s">
        <v>10</v>
      </c>
      <c r="G32" s="63">
        <f>+I10</f>
        <v>7500</v>
      </c>
    </row>
    <row r="33" spans="2:7" ht="21" customHeight="1">
      <c r="B33" s="93" t="s">
        <v>11</v>
      </c>
      <c r="G33" s="65">
        <f>+I11</f>
        <v>0</v>
      </c>
    </row>
    <row r="34" spans="2:7" ht="21" customHeight="1" thickBot="1">
      <c r="B34" s="94" t="s">
        <v>12</v>
      </c>
      <c r="G34" s="194">
        <f>+I12</f>
        <v>0</v>
      </c>
    </row>
    <row r="35" spans="2:7" ht="21" customHeight="1">
      <c r="B35" s="94" t="s">
        <v>13</v>
      </c>
      <c r="G35" s="63">
        <f>SUM(G32:G34)</f>
        <v>7500</v>
      </c>
    </row>
    <row r="36" spans="2:7" ht="21" customHeight="1" thickBot="1">
      <c r="B36" s="94" t="s">
        <v>14</v>
      </c>
      <c r="G36" s="194">
        <f>+J15</f>
        <v>500</v>
      </c>
    </row>
    <row r="37" spans="2:7" ht="21" customHeight="1" thickBot="1">
      <c r="B37" s="94" t="s">
        <v>15</v>
      </c>
      <c r="G37" s="80">
        <f>+G35-G36</f>
        <v>7000</v>
      </c>
    </row>
    <row r="38" spans="2:7" ht="13.8" thickTop="1"/>
    <row r="54" spans="2:10" ht="13.8">
      <c r="B54" s="1130" t="s">
        <v>9</v>
      </c>
      <c r="C54" s="1130"/>
      <c r="D54" s="1130"/>
      <c r="E54" s="1130"/>
      <c r="F54" s="1130"/>
      <c r="G54" s="1130"/>
      <c r="H54" s="1130"/>
      <c r="I54" s="1130"/>
      <c r="J54" s="1130"/>
    </row>
  </sheetData>
  <sheetProtection algorithmName="SHA-512" hashValue="mIMJhZea/HkEXg7+6boQhCmqFGXg9e8SnOitsv8tuEhVI9EAtAoPSQITaHuM5VdZ05+O5ft+L1qI1iWO3llBFA==" saltValue="Cdn1JTOVgY1hh99pXy7cBg==" spinCount="100000" sheet="1" objects="1" scenarios="1"/>
  <mergeCells count="3">
    <mergeCell ref="B3:J3"/>
    <mergeCell ref="B4:J4"/>
    <mergeCell ref="B54:J54"/>
  </mergeCells>
  <phoneticPr fontId="0" type="noConversion"/>
  <pageMargins left="0.25" right="0.25" top="0.5" bottom="0.5" header="0.25" footer="0.25"/>
  <pageSetup paperSize="5"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23"/>
  <dimension ref="B3:M60"/>
  <sheetViews>
    <sheetView topLeftCell="A11" zoomScaleNormal="100" workbookViewId="0">
      <selection activeCell="C30" sqref="C30:E30"/>
    </sheetView>
  </sheetViews>
  <sheetFormatPr defaultRowHeight="13.2"/>
  <cols>
    <col min="1" max="1" width="3.6640625" customWidth="1"/>
    <col min="2" max="4" width="4.6640625" customWidth="1"/>
    <col min="5" max="5" width="5.6640625" customWidth="1"/>
    <col min="7" max="7" width="15.88671875" customWidth="1"/>
    <col min="8" max="8" width="14.6640625" customWidth="1"/>
    <col min="9" max="10" width="16.6640625" customWidth="1"/>
  </cols>
  <sheetData>
    <row r="3" spans="2:13" ht="20.399999999999999">
      <c r="B3" s="1131" t="s">
        <v>20</v>
      </c>
      <c r="C3" s="1131"/>
      <c r="D3" s="1131"/>
      <c r="E3" s="1131"/>
      <c r="F3" s="1131"/>
      <c r="G3" s="1131"/>
      <c r="H3" s="1131"/>
      <c r="I3" s="1131"/>
      <c r="J3" s="1131"/>
    </row>
    <row r="4" spans="2:13" ht="20.399999999999999">
      <c r="B4" s="1131" t="s">
        <v>19</v>
      </c>
      <c r="C4" s="1131"/>
      <c r="D4" s="1131"/>
      <c r="E4" s="1131"/>
      <c r="F4" s="1131"/>
      <c r="G4" s="1131"/>
      <c r="H4" s="1131"/>
      <c r="I4" s="1131"/>
      <c r="J4" s="1131"/>
    </row>
    <row r="5" spans="2:13" ht="13.8" thickBot="1"/>
    <row r="6" spans="2:13" ht="27.9" customHeight="1" thickTop="1" thickBot="1">
      <c r="B6" s="58"/>
      <c r="C6" s="58"/>
      <c r="D6" s="58"/>
      <c r="E6" s="58"/>
      <c r="F6" s="58"/>
      <c r="G6" s="58"/>
      <c r="H6" s="58"/>
      <c r="I6" s="4" t="s">
        <v>96</v>
      </c>
      <c r="J6" s="737" t="s">
        <v>97</v>
      </c>
    </row>
    <row r="7" spans="2:13" ht="21" customHeight="1" thickTop="1">
      <c r="B7" s="22" t="str">
        <f>'23-SCVet Deductions'!C7</f>
        <v>Balance - January 1, 2024</v>
      </c>
      <c r="C7" s="22"/>
      <c r="D7" s="22"/>
      <c r="E7" s="22"/>
      <c r="F7" s="22"/>
      <c r="G7" s="22"/>
      <c r="H7" s="23"/>
      <c r="I7" s="48" t="s">
        <v>689</v>
      </c>
      <c r="J7" s="738">
        <f>H8+H9</f>
        <v>150000</v>
      </c>
    </row>
    <row r="8" spans="2:13" ht="21" customHeight="1">
      <c r="B8" s="5"/>
      <c r="C8" s="5" t="s">
        <v>455</v>
      </c>
      <c r="D8" s="5"/>
      <c r="E8" s="5"/>
      <c r="F8" s="5"/>
      <c r="G8" s="5"/>
      <c r="H8" s="291">
        <v>150000</v>
      </c>
      <c r="I8" s="43" t="s">
        <v>689</v>
      </c>
      <c r="J8" s="733" t="s">
        <v>627</v>
      </c>
    </row>
    <row r="9" spans="2:13" ht="21" customHeight="1">
      <c r="B9" s="5"/>
      <c r="C9" s="5" t="s">
        <v>456</v>
      </c>
      <c r="D9" s="5"/>
      <c r="E9" s="5"/>
      <c r="F9" s="5"/>
      <c r="G9" s="5"/>
      <c r="H9" s="291"/>
      <c r="I9" s="43" t="s">
        <v>689</v>
      </c>
      <c r="J9" s="733" t="s">
        <v>627</v>
      </c>
    </row>
    <row r="10" spans="2:13" ht="24.75" customHeight="1">
      <c r="B10" s="1237" t="str">
        <f>"Contested Amount of "&amp;TEXT('KEY INPUTS'!D34,"0")&amp;" Taxes Collected which are Pending State Appeal (Item 14, Sheet 22)"</f>
        <v>Contested Amount of 2024 Taxes Collected which are Pending State Appeal (Item 14, Sheet 22)</v>
      </c>
      <c r="C10" s="1237"/>
      <c r="D10" s="1237"/>
      <c r="E10" s="1237"/>
      <c r="F10" s="1237"/>
      <c r="G10" s="1237"/>
      <c r="H10" s="24"/>
      <c r="I10" s="43" t="s">
        <v>689</v>
      </c>
      <c r="J10" s="433"/>
    </row>
    <row r="11" spans="2:13" ht="21" customHeight="1">
      <c r="B11" s="5" t="s">
        <v>457</v>
      </c>
      <c r="C11" s="5"/>
      <c r="D11" s="5"/>
      <c r="E11" s="5"/>
      <c r="F11" s="5"/>
      <c r="G11" s="5"/>
      <c r="H11" s="24"/>
      <c r="I11" s="43" t="s">
        <v>689</v>
      </c>
      <c r="J11" s="433"/>
      <c r="M11" s="294"/>
    </row>
    <row r="12" spans="2:13" ht="21" customHeight="1">
      <c r="B12" s="417"/>
      <c r="C12" s="417"/>
      <c r="D12" s="417"/>
      <c r="E12" s="417"/>
      <c r="F12" s="417"/>
      <c r="G12" s="417"/>
      <c r="H12" s="423"/>
      <c r="I12" s="291"/>
      <c r="J12" s="433"/>
    </row>
    <row r="13" spans="2:13" ht="21" customHeight="1">
      <c r="B13" s="5" t="s">
        <v>85</v>
      </c>
      <c r="C13" s="5"/>
      <c r="D13" s="5"/>
      <c r="E13" s="5"/>
      <c r="F13" s="5"/>
      <c r="G13" s="5"/>
      <c r="H13" s="24"/>
      <c r="I13" s="291"/>
      <c r="J13" s="733" t="s">
        <v>627</v>
      </c>
    </row>
    <row r="14" spans="2:13">
      <c r="B14" s="7" t="s">
        <v>458</v>
      </c>
      <c r="C14" s="7"/>
      <c r="D14" s="7"/>
      <c r="E14" s="7"/>
      <c r="F14" s="7"/>
      <c r="G14" s="7"/>
      <c r="H14" s="79"/>
      <c r="I14" s="736"/>
      <c r="J14" s="734"/>
    </row>
    <row r="15" spans="2:13" ht="12.75" customHeight="1">
      <c r="B15" s="30" t="s">
        <v>459</v>
      </c>
      <c r="C15" s="30"/>
      <c r="D15" s="30"/>
      <c r="E15" s="30"/>
      <c r="F15" s="30"/>
      <c r="G15" s="30"/>
      <c r="H15" s="98"/>
      <c r="I15" s="291"/>
      <c r="J15" s="735" t="s">
        <v>627</v>
      </c>
    </row>
    <row r="16" spans="2:13" ht="21" customHeight="1">
      <c r="B16" s="417"/>
      <c r="C16" s="417"/>
      <c r="D16" s="417"/>
      <c r="E16" s="417"/>
      <c r="F16" s="417"/>
      <c r="G16" s="417"/>
      <c r="H16" s="423"/>
      <c r="I16" s="291"/>
      <c r="J16" s="433"/>
    </row>
    <row r="17" spans="2:10" ht="21" customHeight="1">
      <c r="B17" s="5" t="str">
        <f>'23-SCVet Deductions'!C20</f>
        <v>Balance - December 31, 2024</v>
      </c>
      <c r="C17" s="5"/>
      <c r="D17" s="5"/>
      <c r="E17" s="5"/>
      <c r="F17" s="5"/>
      <c r="G17" s="5"/>
      <c r="H17" s="24"/>
      <c r="I17" s="704">
        <f>H18+H19</f>
        <v>150000</v>
      </c>
      <c r="J17" s="733" t="s">
        <v>627</v>
      </c>
    </row>
    <row r="18" spans="2:10" ht="21" customHeight="1">
      <c r="B18" s="5"/>
      <c r="C18" s="5" t="s">
        <v>460</v>
      </c>
      <c r="D18" s="5"/>
      <c r="E18" s="5"/>
      <c r="F18" s="5"/>
      <c r="G18" s="5"/>
      <c r="H18" s="291">
        <v>150000</v>
      </c>
      <c r="I18" s="43" t="s">
        <v>627</v>
      </c>
      <c r="J18" s="733" t="s">
        <v>627</v>
      </c>
    </row>
    <row r="19" spans="2:10" ht="21" customHeight="1">
      <c r="B19" s="5"/>
      <c r="C19" s="5" t="s">
        <v>456</v>
      </c>
      <c r="D19" s="5"/>
      <c r="E19" s="5"/>
      <c r="F19" s="5"/>
      <c r="G19" s="5"/>
      <c r="H19" s="291"/>
      <c r="I19" s="43" t="s">
        <v>627</v>
      </c>
      <c r="J19" s="733" t="s">
        <v>627</v>
      </c>
    </row>
    <row r="20" spans="2:10" ht="21" customHeight="1" thickBot="1">
      <c r="B20" s="239" t="s">
        <v>3631</v>
      </c>
      <c r="I20" s="639">
        <f>SUM(I7:I19)</f>
        <v>150000</v>
      </c>
      <c r="J20" s="712">
        <f>SUM(J7:J19)</f>
        <v>150000</v>
      </c>
    </row>
    <row r="21" spans="2:10" ht="13.8" thickTop="1">
      <c r="B21" t="str">
        <f>"   Appeals Not Adjusted by December 31, "&amp;TEXT('KEY INPUTS'!D34,"0")</f>
        <v xml:space="preserve">   Appeals Not Adjusted by December 31, 2024</v>
      </c>
    </row>
    <row r="25" spans="2:10">
      <c r="C25" s="1166" t="s">
        <v>3813</v>
      </c>
      <c r="D25" s="1164"/>
      <c r="E25" s="1164"/>
      <c r="F25" s="1164"/>
      <c r="G25" s="1164"/>
    </row>
    <row r="26" spans="2:10">
      <c r="C26" s="1240" t="s">
        <v>3632</v>
      </c>
      <c r="D26" s="1171"/>
      <c r="E26" s="1171"/>
      <c r="F26" s="1171"/>
      <c r="G26" s="1171"/>
    </row>
    <row r="29" spans="2:10">
      <c r="C29" s="1166" t="s">
        <v>3814</v>
      </c>
      <c r="D29" s="1164"/>
      <c r="E29" s="1164"/>
      <c r="G29" s="1121">
        <v>45729</v>
      </c>
    </row>
    <row r="30" spans="2:10">
      <c r="C30" s="1171" t="s">
        <v>16</v>
      </c>
      <c r="D30" s="1171"/>
      <c r="E30" s="1171"/>
      <c r="G30" s="1" t="s">
        <v>17</v>
      </c>
    </row>
    <row r="60" spans="2:10" ht="13.8">
      <c r="B60" s="1130" t="s">
        <v>18</v>
      </c>
      <c r="C60" s="1130"/>
      <c r="D60" s="1130"/>
      <c r="E60" s="1130"/>
      <c r="F60" s="1130"/>
      <c r="G60" s="1130"/>
      <c r="H60" s="1130"/>
      <c r="I60" s="1130"/>
      <c r="J60" s="1130"/>
    </row>
  </sheetData>
  <sheetProtection algorithmName="SHA-512" hashValue="8+x5QnoHe298Wt6d0F7ZS+bzPEgSNcnU8XhH8frRm6t+T+M2p95vt0vkBDO7f6nH/HdCO+bb3TE/PfCJ1xSASg==" saltValue="n0vY6sPq8Bbhv5uoqH0pyg==" spinCount="100000" sheet="1" objects="1" scenarios="1"/>
  <mergeCells count="8">
    <mergeCell ref="B60:J60"/>
    <mergeCell ref="B3:J3"/>
    <mergeCell ref="B4:J4"/>
    <mergeCell ref="C26:G26"/>
    <mergeCell ref="C30:E30"/>
    <mergeCell ref="B10:G10"/>
    <mergeCell ref="C25:G25"/>
    <mergeCell ref="C29:E29"/>
  </mergeCells>
  <phoneticPr fontId="0" type="noConversion"/>
  <pageMargins left="0.25" right="0.25" top="0.5" bottom="0.5" header="0.25" footer="0.25"/>
  <pageSetup paperSize="5"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24"/>
  <dimension ref="B2:S80"/>
  <sheetViews>
    <sheetView topLeftCell="A27" zoomScaleNormal="100" workbookViewId="0">
      <selection activeCell="M18" sqref="M18"/>
    </sheetView>
  </sheetViews>
  <sheetFormatPr defaultRowHeight="13.2"/>
  <cols>
    <col min="1" max="1" width="4.6640625" customWidth="1"/>
    <col min="2" max="2" width="3.5546875" customWidth="1"/>
    <col min="3" max="3" width="4.6640625" customWidth="1"/>
    <col min="4" max="4" width="2.6640625" customWidth="1"/>
    <col min="5" max="5" width="4.6640625" customWidth="1"/>
    <col min="6" max="6" width="7.44140625" customWidth="1"/>
    <col min="7" max="7" width="11.6640625" customWidth="1"/>
    <col min="8" max="8" width="12.109375" customWidth="1"/>
    <col min="9" max="9" width="15" customWidth="1"/>
    <col min="10" max="10" width="3.5546875" customWidth="1"/>
    <col min="11" max="11" width="14.6640625" customWidth="1"/>
    <col min="12" max="12" width="2.6640625" customWidth="1"/>
    <col min="13" max="13" width="14.6640625" customWidth="1"/>
    <col min="14" max="14" width="13.5546875" bestFit="1" customWidth="1"/>
    <col min="15" max="15" width="11.44140625" bestFit="1" customWidth="1"/>
    <col min="19" max="19" width="9.33203125" bestFit="1" customWidth="1"/>
  </cols>
  <sheetData>
    <row r="2" spans="2:15" ht="20.399999999999999">
      <c r="B2" s="1131" t="s">
        <v>58</v>
      </c>
      <c r="C2" s="1131"/>
      <c r="D2" s="1131"/>
      <c r="E2" s="1131"/>
      <c r="F2" s="1131"/>
      <c r="G2" s="1131"/>
      <c r="H2" s="1131"/>
      <c r="I2" s="1131"/>
      <c r="J2" s="1131"/>
      <c r="K2" s="1131"/>
      <c r="L2" s="1131"/>
      <c r="M2" s="1131"/>
      <c r="N2" s="550"/>
    </row>
    <row r="3" spans="2:15" ht="13.8" thickBot="1"/>
    <row r="4" spans="2:15" ht="33.9" customHeight="1" thickTop="1" thickBot="1">
      <c r="B4" s="58"/>
      <c r="C4" s="58"/>
      <c r="D4" s="58"/>
      <c r="E4" s="58"/>
      <c r="F4" s="58"/>
      <c r="G4" s="58"/>
      <c r="H4" s="58"/>
      <c r="I4" s="58"/>
      <c r="J4" s="1241" t="s">
        <v>96</v>
      </c>
      <c r="K4" s="1180"/>
      <c r="L4" s="1241" t="s">
        <v>97</v>
      </c>
      <c r="M4" s="1179"/>
    </row>
    <row r="5" spans="2:15" ht="21.9" customHeight="1" thickTop="1">
      <c r="B5" s="82" t="s">
        <v>292</v>
      </c>
      <c r="C5" s="22" t="str">
        <f>'24-Reserves for Tax Appeals'!B7</f>
        <v>Balance - January 1, 2024</v>
      </c>
      <c r="D5" s="22"/>
      <c r="E5" s="22"/>
      <c r="F5" s="22"/>
      <c r="G5" s="22"/>
      <c r="H5" s="22"/>
      <c r="I5" s="23"/>
      <c r="J5" s="60"/>
      <c r="K5" s="558">
        <f>I6+I7</f>
        <v>291053.96999999997</v>
      </c>
      <c r="L5" s="60"/>
      <c r="M5" s="120" t="s">
        <v>627</v>
      </c>
      <c r="O5" s="204"/>
    </row>
    <row r="6" spans="2:15" ht="21.9" customHeight="1">
      <c r="B6" s="83"/>
      <c r="C6" s="5"/>
      <c r="D6" s="5" t="s">
        <v>59</v>
      </c>
      <c r="E6" s="5" t="s">
        <v>60</v>
      </c>
      <c r="F6" s="5"/>
      <c r="G6" s="5"/>
      <c r="H6" s="46"/>
      <c r="I6" s="291">
        <v>174203.69</v>
      </c>
      <c r="J6" s="65"/>
      <c r="K6" s="717" t="s">
        <v>627</v>
      </c>
      <c r="L6" s="65"/>
      <c r="M6" s="121" t="s">
        <v>627</v>
      </c>
      <c r="N6" s="204"/>
    </row>
    <row r="7" spans="2:15" ht="21.9" customHeight="1">
      <c r="B7" s="83"/>
      <c r="C7" s="5"/>
      <c r="D7" s="5" t="s">
        <v>61</v>
      </c>
      <c r="E7" s="5" t="s">
        <v>784</v>
      </c>
      <c r="F7" s="5"/>
      <c r="G7" s="5"/>
      <c r="H7" s="46"/>
      <c r="I7" s="291">
        <v>116850.28</v>
      </c>
      <c r="J7" s="65"/>
      <c r="K7" s="717" t="s">
        <v>627</v>
      </c>
      <c r="L7" s="65"/>
      <c r="M7" s="121" t="s">
        <v>627</v>
      </c>
      <c r="N7" s="204"/>
    </row>
    <row r="8" spans="2:15" ht="21.9" customHeight="1">
      <c r="B8" s="83" t="s">
        <v>293</v>
      </c>
      <c r="C8" s="5" t="s">
        <v>62</v>
      </c>
      <c r="D8" s="5"/>
      <c r="E8" s="5"/>
      <c r="F8" s="5"/>
      <c r="G8" s="5"/>
      <c r="H8" s="5"/>
      <c r="I8" s="24"/>
      <c r="J8" s="65"/>
      <c r="K8" s="717" t="s">
        <v>627</v>
      </c>
      <c r="L8" s="65"/>
      <c r="M8" s="121" t="s">
        <v>627</v>
      </c>
    </row>
    <row r="9" spans="2:15" ht="21.9" customHeight="1">
      <c r="B9" s="83"/>
      <c r="C9" s="5"/>
      <c r="D9" s="5" t="s">
        <v>59</v>
      </c>
      <c r="E9" s="5" t="s">
        <v>60</v>
      </c>
      <c r="F9" s="5"/>
      <c r="G9" s="5"/>
      <c r="H9" s="5"/>
      <c r="I9" s="71"/>
      <c r="J9" s="65"/>
      <c r="K9" s="717" t="s">
        <v>627</v>
      </c>
      <c r="L9" s="65"/>
      <c r="M9" s="431"/>
    </row>
    <row r="10" spans="2:15" ht="21.9" customHeight="1">
      <c r="B10" s="83"/>
      <c r="C10" s="5"/>
      <c r="D10" s="5" t="s">
        <v>61</v>
      </c>
      <c r="E10" s="5" t="s">
        <v>784</v>
      </c>
      <c r="F10" s="5"/>
      <c r="G10" s="5"/>
      <c r="H10" s="5"/>
      <c r="I10" s="71"/>
      <c r="J10" s="65"/>
      <c r="K10" s="717" t="s">
        <v>627</v>
      </c>
      <c r="L10" s="65"/>
      <c r="M10" s="431"/>
    </row>
    <row r="11" spans="2:15" ht="21.9" customHeight="1">
      <c r="B11" s="83" t="s">
        <v>294</v>
      </c>
      <c r="C11" s="5" t="s">
        <v>485</v>
      </c>
      <c r="D11" s="5"/>
      <c r="E11" s="5"/>
      <c r="F11" s="5"/>
      <c r="G11" s="5"/>
      <c r="H11" s="5"/>
      <c r="I11" s="24"/>
      <c r="J11" s="65"/>
      <c r="K11" s="717" t="s">
        <v>627</v>
      </c>
      <c r="L11" s="65"/>
      <c r="M11" s="121" t="s">
        <v>627</v>
      </c>
    </row>
    <row r="12" spans="2:15" ht="21.9" customHeight="1">
      <c r="B12" s="83"/>
      <c r="C12" s="5"/>
      <c r="D12" s="5" t="s">
        <v>59</v>
      </c>
      <c r="E12" s="5" t="s">
        <v>60</v>
      </c>
      <c r="F12" s="5"/>
      <c r="G12" s="5"/>
      <c r="H12" s="5"/>
      <c r="I12" s="71"/>
      <c r="J12" s="65"/>
      <c r="K12" s="717" t="s">
        <v>627</v>
      </c>
      <c r="L12" s="65"/>
      <c r="M12" s="431"/>
    </row>
    <row r="13" spans="2:15" ht="21.9" customHeight="1">
      <c r="B13" s="83"/>
      <c r="C13" s="5"/>
      <c r="D13" s="5" t="s">
        <v>61</v>
      </c>
      <c r="E13" s="5" t="s">
        <v>784</v>
      </c>
      <c r="F13" s="5"/>
      <c r="G13" s="5"/>
      <c r="H13" s="5"/>
      <c r="I13" s="71"/>
      <c r="J13" s="65"/>
      <c r="K13" s="717" t="s">
        <v>627</v>
      </c>
      <c r="L13" s="65"/>
      <c r="M13" s="431"/>
    </row>
    <row r="14" spans="2:15" ht="21.9" customHeight="1">
      <c r="B14" s="83" t="s">
        <v>295</v>
      </c>
      <c r="C14" s="5" t="s">
        <v>486</v>
      </c>
      <c r="D14" s="5"/>
      <c r="E14" s="5"/>
      <c r="F14" s="5"/>
      <c r="G14" s="5"/>
      <c r="H14" s="5"/>
      <c r="I14" s="71"/>
      <c r="J14" s="65"/>
      <c r="K14" s="432">
        <v>13127.74</v>
      </c>
      <c r="L14" s="65"/>
      <c r="M14" s="121" t="s">
        <v>627</v>
      </c>
    </row>
    <row r="15" spans="2:15" ht="21.9" customHeight="1">
      <c r="B15" s="83" t="s">
        <v>296</v>
      </c>
      <c r="C15" s="5" t="s">
        <v>487</v>
      </c>
      <c r="D15" s="5"/>
      <c r="E15" s="5"/>
      <c r="F15" s="5"/>
      <c r="G15" s="5"/>
      <c r="H15" s="5"/>
      <c r="I15" s="71"/>
      <c r="J15" s="65"/>
      <c r="K15" s="432"/>
      <c r="L15" s="65"/>
      <c r="M15" s="121" t="s">
        <v>627</v>
      </c>
    </row>
    <row r="16" spans="2:15" ht="21.9" customHeight="1">
      <c r="B16" s="83" t="s">
        <v>297</v>
      </c>
      <c r="C16" s="1237" t="s">
        <v>3616</v>
      </c>
      <c r="D16" s="1237"/>
      <c r="E16" s="1237"/>
      <c r="F16" s="1237"/>
      <c r="G16" s="1237"/>
      <c r="H16" s="1237"/>
      <c r="I16" s="1242"/>
      <c r="J16" s="65"/>
      <c r="K16" s="717" t="s">
        <v>627</v>
      </c>
      <c r="L16" s="65"/>
      <c r="M16" s="431"/>
    </row>
    <row r="17" spans="2:19" ht="21.9" customHeight="1">
      <c r="B17" s="83"/>
      <c r="C17" s="5"/>
      <c r="D17" s="5" t="s">
        <v>59</v>
      </c>
      <c r="E17" s="5" t="s">
        <v>488</v>
      </c>
      <c r="F17" s="5"/>
      <c r="G17" s="5"/>
      <c r="H17" s="5"/>
      <c r="I17" s="71"/>
      <c r="J17" s="65"/>
      <c r="K17" s="717" t="s">
        <v>627</v>
      </c>
      <c r="L17" s="193" t="s">
        <v>490</v>
      </c>
      <c r="M17" s="431">
        <v>19.02</v>
      </c>
    </row>
    <row r="18" spans="2:19" ht="21.9" customHeight="1">
      <c r="B18" s="83"/>
      <c r="C18" s="5"/>
      <c r="D18" s="5" t="s">
        <v>61</v>
      </c>
      <c r="E18" s="5" t="s">
        <v>489</v>
      </c>
      <c r="F18" s="5"/>
      <c r="G18" s="5"/>
      <c r="H18" s="5"/>
      <c r="I18" s="71"/>
      <c r="J18" s="193" t="s">
        <v>490</v>
      </c>
      <c r="K18" s="106">
        <f>+M17</f>
        <v>19.02</v>
      </c>
      <c r="L18" s="65"/>
      <c r="M18" s="121" t="s">
        <v>627</v>
      </c>
    </row>
    <row r="19" spans="2:19" ht="21.9" customHeight="1" thickBot="1">
      <c r="B19" s="83" t="s">
        <v>298</v>
      </c>
      <c r="C19" s="5" t="s">
        <v>491</v>
      </c>
      <c r="D19" s="5"/>
      <c r="E19" s="5"/>
      <c r="F19" s="5"/>
      <c r="G19" s="5"/>
      <c r="H19" s="5"/>
      <c r="I19" s="24"/>
      <c r="J19" s="69"/>
      <c r="K19" s="718" t="s">
        <v>627</v>
      </c>
      <c r="L19" s="69"/>
      <c r="M19" s="69">
        <f>+K5+K14+K15+K18-M17-M16-M13-M12-M10-M9</f>
        <v>304181.70999999996</v>
      </c>
    </row>
    <row r="20" spans="2:19" ht="21.9" customHeight="1" thickTop="1" thickBot="1">
      <c r="B20" s="83" t="s">
        <v>384</v>
      </c>
      <c r="C20" s="5"/>
      <c r="D20" s="5" t="s">
        <v>639</v>
      </c>
      <c r="E20" s="5"/>
      <c r="F20" s="5"/>
      <c r="G20" s="5"/>
      <c r="H20" s="5"/>
      <c r="I20" s="24"/>
      <c r="J20" s="107"/>
      <c r="K20" s="108">
        <f>SUM(K5:K19)</f>
        <v>304200.73</v>
      </c>
      <c r="L20" s="109"/>
      <c r="M20" s="109">
        <f>SUM(M5:M19)</f>
        <v>304200.73</v>
      </c>
    </row>
    <row r="21" spans="2:19" ht="21.9" customHeight="1" thickTop="1">
      <c r="B21" s="83" t="s">
        <v>385</v>
      </c>
      <c r="C21" s="5" t="s">
        <v>492</v>
      </c>
      <c r="D21" s="5"/>
      <c r="E21" s="5"/>
      <c r="F21" s="5"/>
      <c r="G21" s="5"/>
      <c r="H21" s="5"/>
      <c r="I21" s="24"/>
      <c r="J21" s="63"/>
      <c r="K21" s="105">
        <f>+M19</f>
        <v>304181.70999999996</v>
      </c>
      <c r="L21" s="63"/>
      <c r="M21" s="122" t="s">
        <v>627</v>
      </c>
    </row>
    <row r="22" spans="2:19" ht="21.9" customHeight="1">
      <c r="B22" s="83" t="s">
        <v>386</v>
      </c>
      <c r="C22" s="5" t="s">
        <v>244</v>
      </c>
      <c r="D22" s="5"/>
      <c r="E22" s="5"/>
      <c r="F22" s="5"/>
      <c r="G22" s="5"/>
      <c r="H22" s="5"/>
      <c r="I22" s="24"/>
      <c r="J22" s="65"/>
      <c r="K22" s="717" t="s">
        <v>627</v>
      </c>
      <c r="L22" s="65"/>
      <c r="M22" s="65">
        <f>+I23+I24</f>
        <v>187312.41</v>
      </c>
      <c r="N22" s="204"/>
    </row>
    <row r="23" spans="2:19" ht="21.9" customHeight="1">
      <c r="B23" s="83"/>
      <c r="C23" s="5"/>
      <c r="D23" s="5" t="s">
        <v>59</v>
      </c>
      <c r="E23" s="5" t="s">
        <v>60</v>
      </c>
      <c r="F23" s="5"/>
      <c r="G23" s="5"/>
      <c r="H23" s="46"/>
      <c r="I23" s="426">
        <f>187562.41-250</f>
        <v>187312.41</v>
      </c>
      <c r="J23" s="65"/>
      <c r="K23" s="717" t="s">
        <v>627</v>
      </c>
      <c r="L23" s="65"/>
      <c r="M23" s="121" t="s">
        <v>627</v>
      </c>
      <c r="N23" s="204"/>
      <c r="O23" s="204"/>
      <c r="S23" s="204"/>
    </row>
    <row r="24" spans="2:19" ht="21.9" customHeight="1">
      <c r="B24" s="83"/>
      <c r="C24" s="5"/>
      <c r="D24" s="5" t="s">
        <v>61</v>
      </c>
      <c r="E24" s="5" t="s">
        <v>784</v>
      </c>
      <c r="F24" s="5"/>
      <c r="G24" s="5"/>
      <c r="H24" s="46"/>
      <c r="I24" s="291"/>
      <c r="J24" s="65"/>
      <c r="K24" s="717" t="s">
        <v>627</v>
      </c>
      <c r="L24" s="65"/>
      <c r="M24" s="121" t="s">
        <v>627</v>
      </c>
    </row>
    <row r="25" spans="2:19" ht="21.9" customHeight="1">
      <c r="B25" s="83" t="s">
        <v>223</v>
      </c>
      <c r="C25" s="5" t="str">
        <f>"Interest and Costs - "&amp;IF('KEY INPUTS'!C42="State Fiscal Year","Fiscal Year "&amp;'KEY INPUTS'!D33&amp;"",'KEY INPUTS'!D34)&amp;" Tax Sale"</f>
        <v>Interest and Costs - 2024 Tax Sale</v>
      </c>
      <c r="D25" s="5"/>
      <c r="E25" s="5"/>
      <c r="F25" s="5"/>
      <c r="G25" s="5"/>
      <c r="H25" s="5"/>
      <c r="I25" s="71"/>
      <c r="J25" s="65"/>
      <c r="K25" s="432">
        <v>16.579999999999998</v>
      </c>
      <c r="L25" s="65"/>
      <c r="M25" s="121" t="s">
        <v>627</v>
      </c>
    </row>
    <row r="26" spans="2:19" ht="21.9" customHeight="1">
      <c r="B26" s="83" t="s">
        <v>225</v>
      </c>
      <c r="C26" s="5" t="str">
        <f>IF('KEY INPUTS'!C42="State Fiscal Year","Fiscal Year "&amp;'KEY INPUTS'!D33&amp;"",'KEY INPUTS'!D34)&amp;" Taxes Transferred to Liens"</f>
        <v>2024 Taxes Transferred to Liens</v>
      </c>
      <c r="D26" s="5"/>
      <c r="E26" s="5"/>
      <c r="F26" s="5"/>
      <c r="G26" s="5"/>
      <c r="H26" s="5"/>
      <c r="I26" s="71"/>
      <c r="J26" s="65"/>
      <c r="K26" s="432">
        <v>8254.5300000000007</v>
      </c>
      <c r="L26" s="65"/>
      <c r="M26" s="121" t="s">
        <v>627</v>
      </c>
    </row>
    <row r="27" spans="2:19" ht="21.9" customHeight="1">
      <c r="B27" s="83" t="s">
        <v>226</v>
      </c>
      <c r="C27" s="5" t="str">
        <f>IF('KEY INPUTS'!C42="State Fiscal Year","Fiscal Year "&amp;'KEY INPUTS'!D33&amp;"",'KEY INPUTS'!D34)&amp;" Taxes"</f>
        <v>2024 Taxes</v>
      </c>
      <c r="D27" s="5"/>
      <c r="E27" s="5"/>
      <c r="F27" s="5"/>
      <c r="G27" s="5"/>
      <c r="H27" s="5"/>
      <c r="I27" s="71"/>
      <c r="J27" s="65"/>
      <c r="K27" s="559">
        <f>+'22-CY Levy'!N35+'22-CY Levy'!N22</f>
        <v>97172.449999999255</v>
      </c>
      <c r="L27" s="65"/>
      <c r="M27" s="121" t="s">
        <v>627</v>
      </c>
    </row>
    <row r="28" spans="2:19" ht="21.9" customHeight="1">
      <c r="B28" s="83" t="s">
        <v>564</v>
      </c>
      <c r="C28" s="5" t="str">
        <f>'24-Reserves for Tax Appeals'!B17</f>
        <v>Balance - December 31, 2024</v>
      </c>
      <c r="D28" s="5"/>
      <c r="E28" s="5"/>
      <c r="F28" s="5"/>
      <c r="G28" s="5"/>
      <c r="H28" s="5"/>
      <c r="I28" s="24"/>
      <c r="J28" s="65"/>
      <c r="K28" s="717" t="s">
        <v>627</v>
      </c>
      <c r="L28" s="65"/>
      <c r="M28" s="65">
        <f>+I29+I30</f>
        <v>222312.85999999926</v>
      </c>
    </row>
    <row r="29" spans="2:19" ht="21.9" customHeight="1">
      <c r="B29" s="83"/>
      <c r="C29" s="5"/>
      <c r="D29" s="5" t="s">
        <v>59</v>
      </c>
      <c r="E29" s="5" t="s">
        <v>60</v>
      </c>
      <c r="F29" s="5"/>
      <c r="G29" s="5"/>
      <c r="H29" s="46"/>
      <c r="I29" s="64">
        <f>+I6-M9-M12+K14-M17-I23+K27</f>
        <v>97172.449999999255</v>
      </c>
      <c r="J29" s="65"/>
      <c r="K29" s="717" t="s">
        <v>627</v>
      </c>
      <c r="L29" s="65"/>
      <c r="M29" s="121" t="s">
        <v>627</v>
      </c>
      <c r="N29" s="204"/>
    </row>
    <row r="30" spans="2:19" ht="21.9" customHeight="1">
      <c r="B30" s="83"/>
      <c r="C30" s="5"/>
      <c r="D30" s="5" t="s">
        <v>61</v>
      </c>
      <c r="E30" s="5" t="s">
        <v>784</v>
      </c>
      <c r="F30" s="5"/>
      <c r="G30" s="5"/>
      <c r="H30" s="46"/>
      <c r="I30" s="64">
        <f>+I7-M10-M13+K15+K18-I24+K25+K26</f>
        <v>125140.41</v>
      </c>
      <c r="J30" s="65"/>
      <c r="K30" s="717" t="s">
        <v>627</v>
      </c>
      <c r="L30" s="65"/>
      <c r="M30" s="121" t="s">
        <v>627</v>
      </c>
      <c r="N30" s="204"/>
    </row>
    <row r="31" spans="2:19" ht="21.9" customHeight="1" thickBot="1">
      <c r="B31" s="81" t="s">
        <v>493</v>
      </c>
      <c r="E31" t="s">
        <v>639</v>
      </c>
      <c r="I31" s="103"/>
      <c r="J31" s="76"/>
      <c r="K31" s="110">
        <f>SUM(K21:K30)</f>
        <v>409625.26999999926</v>
      </c>
      <c r="L31" s="111"/>
      <c r="M31" s="111">
        <f>SUM(M21:M30)</f>
        <v>409625.26999999926</v>
      </c>
      <c r="N31" s="204"/>
    </row>
    <row r="32" spans="2:19" ht="13.8" thickTop="1">
      <c r="B32" s="81"/>
      <c r="H32" s="204"/>
      <c r="I32" s="204"/>
      <c r="O32" s="204"/>
    </row>
    <row r="33" spans="2:13">
      <c r="B33" s="81"/>
      <c r="I33" s="204"/>
    </row>
    <row r="34" spans="2:13" ht="13.8" thickBot="1">
      <c r="B34" s="81" t="s">
        <v>494</v>
      </c>
      <c r="C34" t="s">
        <v>495</v>
      </c>
    </row>
    <row r="35" spans="2:13" ht="14.4" thickTop="1" thickBot="1">
      <c r="B35" s="81"/>
      <c r="C35" t="s">
        <v>496</v>
      </c>
      <c r="H35" s="987">
        <f>IFERROR(TRUNC(M22/K21,4),"NO ENTRY")</f>
        <v>0.61570000000000003</v>
      </c>
    </row>
    <row r="36" spans="2:13" ht="14.4" thickTop="1" thickBot="1">
      <c r="B36" s="81"/>
    </row>
    <row r="37" spans="2:13" ht="14.4" thickTop="1" thickBot="1">
      <c r="B37" s="81" t="s">
        <v>497</v>
      </c>
      <c r="C37" s="239" t="s">
        <v>3526</v>
      </c>
      <c r="I37" s="988">
        <f>IFERROR(H35*M28,"NO ENTRY")</f>
        <v>136878.02790199954</v>
      </c>
      <c r="J37" t="s">
        <v>498</v>
      </c>
      <c r="M37" s="227"/>
    </row>
    <row r="38" spans="2:13" ht="13.8" thickTop="1">
      <c r="B38" s="81"/>
      <c r="C38" t="str">
        <f>"maximum amount that may be anticipated in "&amp;IF('KEY INPUTS'!C42="State Fiscal Year","Fiscal Year "&amp;'KEY INPUTS'!D33+1&amp;"",'KEY INPUTS'!D34+1)&amp;"."</f>
        <v>maximum amount that may be anticipated in 2025.</v>
      </c>
      <c r="I38" s="54"/>
    </row>
    <row r="39" spans="2:13">
      <c r="B39" s="81"/>
    </row>
    <row r="40" spans="2:13">
      <c r="B40" s="93" t="s">
        <v>245</v>
      </c>
    </row>
    <row r="41" spans="2:13">
      <c r="B41" s="81"/>
    </row>
    <row r="42" spans="2:13">
      <c r="B42" s="93" t="s">
        <v>767</v>
      </c>
    </row>
    <row r="43" spans="2:13">
      <c r="B43" s="93"/>
    </row>
    <row r="44" spans="2:13">
      <c r="B44" s="93"/>
    </row>
    <row r="45" spans="2:13">
      <c r="B45" s="93"/>
    </row>
    <row r="46" spans="2:13">
      <c r="B46" s="93"/>
    </row>
    <row r="47" spans="2:13">
      <c r="B47" s="93"/>
    </row>
    <row r="48" spans="2:13">
      <c r="B48" s="81"/>
    </row>
    <row r="49" spans="2:13" ht="13.8">
      <c r="B49" s="1191" t="s">
        <v>768</v>
      </c>
      <c r="C49" s="1191"/>
      <c r="D49" s="1191"/>
      <c r="E49" s="1191"/>
      <c r="F49" s="1191"/>
      <c r="G49" s="1191"/>
      <c r="H49" s="1191"/>
      <c r="I49" s="1191"/>
      <c r="J49" s="1191"/>
      <c r="K49" s="1191"/>
      <c r="L49" s="1191"/>
      <c r="M49" s="1191"/>
    </row>
    <row r="50" spans="2:13">
      <c r="B50" s="81"/>
    </row>
    <row r="51" spans="2:13">
      <c r="B51" s="81"/>
    </row>
    <row r="52" spans="2:13">
      <c r="B52" s="81"/>
    </row>
    <row r="53" spans="2:13">
      <c r="B53" s="81"/>
    </row>
    <row r="54" spans="2:13">
      <c r="B54" s="81"/>
    </row>
    <row r="55" spans="2:13">
      <c r="B55" s="81"/>
    </row>
    <row r="56" spans="2:13">
      <c r="B56" s="81"/>
    </row>
    <row r="57" spans="2:13">
      <c r="B57" s="81"/>
    </row>
    <row r="58" spans="2:13">
      <c r="B58" s="81"/>
    </row>
    <row r="59" spans="2:13">
      <c r="B59" s="81"/>
    </row>
    <row r="60" spans="2:13">
      <c r="B60" s="81"/>
    </row>
    <row r="61" spans="2:13">
      <c r="B61" s="81"/>
    </row>
    <row r="62" spans="2:13">
      <c r="B62" s="81"/>
    </row>
    <row r="63" spans="2:13">
      <c r="B63" s="81"/>
    </row>
    <row r="64" spans="2:13">
      <c r="B64" s="81"/>
    </row>
    <row r="65" spans="2:2">
      <c r="B65" s="81"/>
    </row>
    <row r="66" spans="2:2">
      <c r="B66" s="81"/>
    </row>
    <row r="67" spans="2:2">
      <c r="B67" s="81"/>
    </row>
    <row r="68" spans="2:2">
      <c r="B68" s="81"/>
    </row>
    <row r="69" spans="2:2">
      <c r="B69" s="81"/>
    </row>
    <row r="70" spans="2:2">
      <c r="B70" s="81"/>
    </row>
    <row r="71" spans="2:2">
      <c r="B71" s="81"/>
    </row>
    <row r="72" spans="2:2">
      <c r="B72" s="81"/>
    </row>
    <row r="73" spans="2:2">
      <c r="B73" s="81"/>
    </row>
    <row r="74" spans="2:2">
      <c r="B74" s="81"/>
    </row>
    <row r="75" spans="2:2">
      <c r="B75" s="81"/>
    </row>
    <row r="76" spans="2:2">
      <c r="B76" s="81"/>
    </row>
    <row r="77" spans="2:2">
      <c r="B77" s="81"/>
    </row>
    <row r="78" spans="2:2">
      <c r="B78" s="81"/>
    </row>
    <row r="79" spans="2:2">
      <c r="B79" s="81"/>
    </row>
    <row r="80" spans="2:2">
      <c r="B80" s="81"/>
    </row>
  </sheetData>
  <sheetProtection algorithmName="SHA-512" hashValue="Vb5fmeJRCx4FV8tGHqqNU9m5n7YHf/mcqUTGVJoEzSRGMsRYMhxRmZD/s4meq8qLt6GNdqJ9WGga96hI372llw==" saltValue="fNcaQog9wa9afCiU46S1xQ==" spinCount="100000" sheet="1" objects="1" scenarios="1"/>
  <mergeCells count="5">
    <mergeCell ref="B49:M49"/>
    <mergeCell ref="B2:M2"/>
    <mergeCell ref="J4:K4"/>
    <mergeCell ref="L4:M4"/>
    <mergeCell ref="C16:I16"/>
  </mergeCells>
  <phoneticPr fontId="0" type="noConversion"/>
  <pageMargins left="0.25" right="0.25" top="0.5" bottom="0.5" header="0.25" footer="0.25"/>
  <pageSetup paperSize="5"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5"/>
  <dimension ref="B2:O81"/>
  <sheetViews>
    <sheetView topLeftCell="A26" zoomScaleNormal="100" workbookViewId="0">
      <selection activeCell="I47" sqref="I47"/>
    </sheetView>
  </sheetViews>
  <sheetFormatPr defaultRowHeight="13.2"/>
  <cols>
    <col min="1" max="1" width="4.6640625" customWidth="1"/>
    <col min="2" max="2" width="3.5546875" customWidth="1"/>
    <col min="3" max="3" width="4.6640625" customWidth="1"/>
    <col min="4" max="4" width="2.6640625" customWidth="1"/>
    <col min="5" max="5" width="4.6640625" customWidth="1"/>
    <col min="6" max="6" width="7.44140625" customWidth="1"/>
    <col min="7" max="7" width="4.5546875" customWidth="1"/>
    <col min="8" max="8" width="3" customWidth="1"/>
    <col min="9" max="9" width="16.6640625" customWidth="1"/>
    <col min="10" max="10" width="14.6640625" customWidth="1"/>
    <col min="11" max="12" width="16.6640625" customWidth="1"/>
    <col min="14" max="14" width="12.88671875" bestFit="1" customWidth="1"/>
  </cols>
  <sheetData>
    <row r="2" spans="2:15" ht="20.399999999999999">
      <c r="B2" s="1131" t="s">
        <v>854</v>
      </c>
      <c r="C2" s="1131"/>
      <c r="D2" s="1131"/>
      <c r="E2" s="1131"/>
      <c r="F2" s="1131"/>
      <c r="G2" s="1131"/>
      <c r="H2" s="1131"/>
      <c r="I2" s="1131"/>
      <c r="J2" s="1131"/>
      <c r="K2" s="1131"/>
      <c r="L2" s="1131"/>
    </row>
    <row r="3" spans="2:15" ht="15.6">
      <c r="B3" s="1132" t="s">
        <v>855</v>
      </c>
      <c r="C3" s="1132"/>
      <c r="D3" s="1132"/>
      <c r="E3" s="1132"/>
      <c r="F3" s="1132"/>
      <c r="G3" s="1132"/>
      <c r="H3" s="1132"/>
      <c r="I3" s="1132"/>
      <c r="J3" s="1132"/>
      <c r="K3" s="1132"/>
      <c r="L3" s="1132"/>
    </row>
    <row r="4" spans="2:15" ht="11.25" customHeight="1" thickBot="1"/>
    <row r="5" spans="2:15" ht="21" customHeight="1" thickTop="1" thickBot="1">
      <c r="B5" s="58"/>
      <c r="C5" s="58"/>
      <c r="D5" s="58"/>
      <c r="E5" s="58"/>
      <c r="F5" s="58"/>
      <c r="G5" s="58"/>
      <c r="H5" s="58"/>
      <c r="I5" s="58"/>
      <c r="J5" s="58"/>
      <c r="K5" s="4" t="s">
        <v>96</v>
      </c>
      <c r="L5" s="3" t="s">
        <v>97</v>
      </c>
    </row>
    <row r="6" spans="2:15" ht="21.9" customHeight="1" thickTop="1">
      <c r="B6" s="82" t="s">
        <v>292</v>
      </c>
      <c r="C6" s="22" t="str">
        <f>'26-Delinquent Taxes and Liens'!C5</f>
        <v>Balance - January 1, 2024</v>
      </c>
      <c r="D6" s="22"/>
      <c r="E6" s="22"/>
      <c r="F6" s="22"/>
      <c r="G6" s="22"/>
      <c r="H6" s="22"/>
      <c r="I6" s="22"/>
      <c r="J6" s="115"/>
      <c r="K6" s="432"/>
      <c r="L6" s="739" t="s">
        <v>627</v>
      </c>
    </row>
    <row r="7" spans="2:15" ht="21.9" customHeight="1">
      <c r="B7" s="83" t="s">
        <v>293</v>
      </c>
      <c r="C7" s="5" t="str">
        <f>"Foreclosed or Deeded in "&amp;IF('KEY INPUTS'!C42="State Fiscal Year","Fiscal Year "&amp;'KEY INPUTS'!D33&amp;"",'KEY INPUTS'!D34)</f>
        <v>Foreclosed or Deeded in 2024</v>
      </c>
      <c r="D7" s="5"/>
      <c r="E7" s="5"/>
      <c r="F7" s="5"/>
      <c r="G7" s="5"/>
      <c r="H7" s="5"/>
      <c r="I7" s="5"/>
      <c r="J7" s="24"/>
      <c r="K7" s="740" t="s">
        <v>627</v>
      </c>
      <c r="L7" s="706" t="s">
        <v>627</v>
      </c>
    </row>
    <row r="8" spans="2:15" ht="21.9" customHeight="1">
      <c r="B8" s="83" t="s">
        <v>294</v>
      </c>
      <c r="C8" s="5"/>
      <c r="D8" s="5" t="s">
        <v>784</v>
      </c>
      <c r="E8" s="5"/>
      <c r="F8" s="5"/>
      <c r="G8" s="5"/>
      <c r="H8" s="5"/>
      <c r="I8" s="5"/>
      <c r="J8" s="71"/>
      <c r="K8" s="956">
        <f>+'26-Delinquent Taxes and Liens'!M13</f>
        <v>0</v>
      </c>
      <c r="L8" s="706" t="s">
        <v>627</v>
      </c>
    </row>
    <row r="9" spans="2:15" ht="21.9" customHeight="1">
      <c r="B9" s="83" t="s">
        <v>295</v>
      </c>
      <c r="C9" s="5"/>
      <c r="D9" s="5" t="s">
        <v>783</v>
      </c>
      <c r="E9" s="5"/>
      <c r="F9" s="5"/>
      <c r="G9" s="5"/>
      <c r="H9" s="5"/>
      <c r="I9" s="5"/>
      <c r="J9" s="71"/>
      <c r="K9" s="844">
        <f>+'26-Delinquent Taxes and Liens'!M12</f>
        <v>0</v>
      </c>
      <c r="L9" s="706" t="s">
        <v>627</v>
      </c>
    </row>
    <row r="10" spans="2:15" ht="21.9" customHeight="1">
      <c r="B10" s="83" t="s">
        <v>847</v>
      </c>
      <c r="C10" s="1187"/>
      <c r="D10" s="1187"/>
      <c r="E10" s="1187"/>
      <c r="F10" s="1187"/>
      <c r="G10" s="1187"/>
      <c r="H10" s="1187"/>
      <c r="I10" s="1187"/>
      <c r="J10" s="71"/>
      <c r="K10" s="432"/>
      <c r="L10" s="706" t="s">
        <v>627</v>
      </c>
    </row>
    <row r="11" spans="2:15" ht="21.9" customHeight="1">
      <c r="B11" s="83" t="s">
        <v>848</v>
      </c>
      <c r="C11" s="1187"/>
      <c r="D11" s="1187"/>
      <c r="E11" s="1187"/>
      <c r="F11" s="1187"/>
      <c r="G11" s="1187"/>
      <c r="H11" s="1187"/>
      <c r="I11" s="1187"/>
      <c r="J11" s="71"/>
      <c r="K11" s="740" t="s">
        <v>627</v>
      </c>
      <c r="L11" s="431"/>
    </row>
    <row r="12" spans="2:15" ht="21.9" customHeight="1">
      <c r="B12" s="83" t="s">
        <v>297</v>
      </c>
      <c r="C12" s="5"/>
      <c r="D12" s="5" t="s">
        <v>849</v>
      </c>
      <c r="E12" s="5"/>
      <c r="F12" s="5"/>
      <c r="G12" s="5"/>
      <c r="H12" s="5"/>
      <c r="I12" s="5"/>
      <c r="J12" s="71"/>
      <c r="K12" s="432"/>
      <c r="L12" s="706" t="s">
        <v>627</v>
      </c>
    </row>
    <row r="13" spans="2:15" ht="21.9" customHeight="1">
      <c r="B13" s="83" t="s">
        <v>298</v>
      </c>
      <c r="C13" s="5"/>
      <c r="D13" s="5" t="s">
        <v>849</v>
      </c>
      <c r="E13" s="5"/>
      <c r="F13" s="5"/>
      <c r="G13" s="5"/>
      <c r="H13" s="5"/>
      <c r="I13" s="5"/>
      <c r="J13" s="71"/>
      <c r="K13" s="740" t="s">
        <v>627</v>
      </c>
      <c r="L13" s="431"/>
    </row>
    <row r="14" spans="2:15" ht="21.9" customHeight="1">
      <c r="B14" s="83" t="s">
        <v>384</v>
      </c>
      <c r="C14" s="7" t="s">
        <v>850</v>
      </c>
      <c r="D14" s="7"/>
      <c r="E14" s="7"/>
      <c r="F14" s="7"/>
      <c r="G14" s="7"/>
      <c r="H14" s="7"/>
      <c r="I14" s="7"/>
      <c r="J14" s="741"/>
      <c r="K14" s="740" t="s">
        <v>627</v>
      </c>
      <c r="L14" s="706" t="s">
        <v>627</v>
      </c>
    </row>
    <row r="15" spans="2:15" ht="21.9" customHeight="1">
      <c r="B15" s="83" t="s">
        <v>385</v>
      </c>
      <c r="C15" s="31"/>
      <c r="D15" s="742" t="s">
        <v>851</v>
      </c>
      <c r="E15" s="31"/>
      <c r="F15" s="31"/>
      <c r="G15" s="31"/>
      <c r="H15" s="31"/>
      <c r="I15" s="31"/>
      <c r="J15" s="71"/>
      <c r="K15" s="740" t="s">
        <v>627</v>
      </c>
      <c r="L15" s="431"/>
      <c r="O15" s="294"/>
    </row>
    <row r="16" spans="2:15" ht="21.9" customHeight="1">
      <c r="B16" s="83" t="s">
        <v>386</v>
      </c>
      <c r="C16" s="743"/>
      <c r="D16" s="744" t="s">
        <v>852</v>
      </c>
      <c r="E16" s="743"/>
      <c r="F16" s="743"/>
      <c r="G16" s="743"/>
      <c r="H16" s="743"/>
      <c r="I16" s="743"/>
      <c r="J16" s="71"/>
      <c r="K16" s="740" t="s">
        <v>627</v>
      </c>
      <c r="L16" s="431"/>
    </row>
    <row r="17" spans="2:12" ht="21.9" customHeight="1">
      <c r="B17" s="83" t="s">
        <v>223</v>
      </c>
      <c r="C17" s="86"/>
      <c r="D17" s="31" t="s">
        <v>853</v>
      </c>
      <c r="E17" s="86"/>
      <c r="F17" s="86"/>
      <c r="G17" s="86"/>
      <c r="H17" s="86"/>
      <c r="I17" s="86"/>
      <c r="J17" s="71"/>
      <c r="K17" s="740" t="s">
        <v>627</v>
      </c>
      <c r="L17" s="431"/>
    </row>
    <row r="18" spans="2:12" ht="21.9" customHeight="1">
      <c r="B18" s="83" t="s">
        <v>225</v>
      </c>
      <c r="C18" s="86"/>
      <c r="D18" s="31" t="s">
        <v>246</v>
      </c>
      <c r="E18" s="86"/>
      <c r="F18" s="86"/>
      <c r="G18" s="86"/>
      <c r="H18" s="86"/>
      <c r="I18" s="86"/>
      <c r="J18" s="71"/>
      <c r="K18" s="740" t="s">
        <v>627</v>
      </c>
      <c r="L18" s="431"/>
    </row>
    <row r="19" spans="2:12" ht="21.9" customHeight="1">
      <c r="B19" s="83" t="s">
        <v>226</v>
      </c>
      <c r="C19" s="5"/>
      <c r="D19" s="5" t="s">
        <v>247</v>
      </c>
      <c r="E19" s="5"/>
      <c r="F19" s="5"/>
      <c r="G19" s="5"/>
      <c r="H19" s="5"/>
      <c r="I19" s="5"/>
      <c r="J19" s="71"/>
      <c r="K19" s="432"/>
      <c r="L19" s="706" t="s">
        <v>627</v>
      </c>
    </row>
    <row r="20" spans="2:12" ht="21.9" customHeight="1" thickBot="1">
      <c r="B20" s="83" t="s">
        <v>564</v>
      </c>
      <c r="C20" s="5" t="str">
        <f>'26-Delinquent Taxes and Liens'!C28</f>
        <v>Balance - December 31, 2024</v>
      </c>
      <c r="D20" s="5"/>
      <c r="E20" s="5"/>
      <c r="F20" s="5"/>
      <c r="G20" s="5"/>
      <c r="H20" s="5"/>
      <c r="I20" s="5"/>
      <c r="J20" s="71"/>
      <c r="K20" s="747" t="s">
        <v>627</v>
      </c>
      <c r="L20" s="745">
        <f>K6+SUM(K8:K10)-L11+K12-L13-SUM(L15:L18)+K19</f>
        <v>0</v>
      </c>
    </row>
    <row r="21" spans="2:12" ht="21.9" customHeight="1" thickTop="1" thickBot="1">
      <c r="B21" s="81"/>
      <c r="K21" s="748">
        <f>SUM(K6:K20)</f>
        <v>0</v>
      </c>
      <c r="L21" s="746">
        <f>SUM(L6:L20)</f>
        <v>0</v>
      </c>
    </row>
    <row r="22" spans="2:12" ht="15" customHeight="1" thickTop="1">
      <c r="B22" s="81"/>
      <c r="K22" s="116"/>
      <c r="L22" s="116"/>
    </row>
    <row r="23" spans="2:12" ht="16.5" customHeight="1">
      <c r="B23" s="1132" t="s">
        <v>856</v>
      </c>
      <c r="C23" s="1132"/>
      <c r="D23" s="1132"/>
      <c r="E23" s="1132"/>
      <c r="F23" s="1132"/>
      <c r="G23" s="1132"/>
      <c r="H23" s="1132"/>
      <c r="I23" s="1132"/>
      <c r="J23" s="1132"/>
      <c r="K23" s="1132"/>
      <c r="L23" s="1132"/>
    </row>
    <row r="24" spans="2:12" ht="9.75" customHeight="1" thickBot="1"/>
    <row r="25" spans="2:12" ht="21.9" customHeight="1" thickTop="1" thickBot="1">
      <c r="B25" s="58"/>
      <c r="C25" s="58"/>
      <c r="D25" s="58"/>
      <c r="E25" s="58"/>
      <c r="F25" s="58"/>
      <c r="G25" s="58"/>
      <c r="H25" s="58"/>
      <c r="I25" s="58"/>
      <c r="J25" s="58"/>
      <c r="K25" s="4" t="s">
        <v>96</v>
      </c>
      <c r="L25" s="3" t="s">
        <v>97</v>
      </c>
    </row>
    <row r="26" spans="2:12" ht="20.100000000000001" customHeight="1" thickTop="1">
      <c r="B26" s="82" t="s">
        <v>493</v>
      </c>
      <c r="C26" s="22" t="str">
        <f>C6</f>
        <v>Balance - January 1, 2024</v>
      </c>
      <c r="D26" s="22"/>
      <c r="E26" s="22"/>
      <c r="F26" s="22"/>
      <c r="G26" s="22"/>
      <c r="H26" s="22"/>
      <c r="I26" s="22"/>
      <c r="J26" s="71"/>
      <c r="K26" s="432"/>
      <c r="L26" s="739" t="s">
        <v>627</v>
      </c>
    </row>
    <row r="27" spans="2:12" ht="20.100000000000001" customHeight="1">
      <c r="B27" s="83" t="s">
        <v>494</v>
      </c>
      <c r="C27" s="5" t="str">
        <f>IF('KEY INPUTS'!C42="State Fiscal Year","Fiscal Year "&amp;'KEY INPUTS'!D33&amp;"",'KEY INPUTS'!D34)&amp;" Sales from Foreclosed Property"</f>
        <v>2024 Sales from Foreclosed Property</v>
      </c>
      <c r="D27" s="5"/>
      <c r="E27" s="5"/>
      <c r="F27" s="5"/>
      <c r="G27" s="5"/>
      <c r="H27" s="5"/>
      <c r="I27" s="5"/>
      <c r="J27" s="71"/>
      <c r="K27" s="432"/>
      <c r="L27" s="706" t="s">
        <v>627</v>
      </c>
    </row>
    <row r="28" spans="2:12" ht="20.100000000000001" customHeight="1">
      <c r="B28" s="83" t="s">
        <v>497</v>
      </c>
      <c r="C28" s="5" t="s">
        <v>859</v>
      </c>
      <c r="D28" s="5"/>
      <c r="E28" s="5"/>
      <c r="F28" s="5"/>
      <c r="G28" s="5"/>
      <c r="H28" s="5"/>
      <c r="I28" s="5"/>
      <c r="J28" s="71"/>
      <c r="K28" s="740" t="s">
        <v>627</v>
      </c>
      <c r="L28" s="431"/>
    </row>
    <row r="29" spans="2:12" ht="20.100000000000001" customHeight="1">
      <c r="B29" s="83" t="s">
        <v>857</v>
      </c>
      <c r="C29" s="1187"/>
      <c r="D29" s="1187"/>
      <c r="E29" s="1187"/>
      <c r="F29" s="1187"/>
      <c r="G29" s="1187"/>
      <c r="H29" s="1187"/>
      <c r="I29" s="1187"/>
      <c r="J29" s="71"/>
      <c r="K29" s="740" t="s">
        <v>627</v>
      </c>
      <c r="L29" s="431"/>
    </row>
    <row r="30" spans="2:12" ht="20.100000000000001" customHeight="1" thickBot="1">
      <c r="B30" s="83" t="s">
        <v>858</v>
      </c>
      <c r="C30" s="5" t="str">
        <f>C20</f>
        <v>Balance - December 31, 2024</v>
      </c>
      <c r="D30" s="5"/>
      <c r="E30" s="5"/>
      <c r="F30" s="5"/>
      <c r="G30" s="5"/>
      <c r="H30" s="5"/>
      <c r="I30" s="5"/>
      <c r="J30" s="71"/>
      <c r="K30" s="747" t="s">
        <v>627</v>
      </c>
      <c r="L30" s="749">
        <f>SUM(K26:K27)-SUM(L28:L29)</f>
        <v>0</v>
      </c>
    </row>
    <row r="31" spans="2:12" ht="20.100000000000001" customHeight="1" thickTop="1" thickBot="1">
      <c r="B31" s="81"/>
      <c r="K31" s="748">
        <f>SUM(K26:K30)</f>
        <v>0</v>
      </c>
      <c r="L31" s="746">
        <f>SUM(L26:L30)</f>
        <v>0</v>
      </c>
    </row>
    <row r="32" spans="2:12" ht="15" customHeight="1" thickTop="1">
      <c r="B32" s="81"/>
      <c r="K32" s="116"/>
      <c r="L32" s="116"/>
    </row>
    <row r="33" spans="2:12" ht="16.5" customHeight="1">
      <c r="B33" s="1132" t="s">
        <v>860</v>
      </c>
      <c r="C33" s="1132"/>
      <c r="D33" s="1132"/>
      <c r="E33" s="1132"/>
      <c r="F33" s="1132"/>
      <c r="G33" s="1132"/>
      <c r="H33" s="1132"/>
      <c r="I33" s="1132"/>
      <c r="J33" s="1132"/>
      <c r="K33" s="1132"/>
      <c r="L33" s="1132"/>
    </row>
    <row r="34" spans="2:12" ht="9.75" customHeight="1" thickBot="1"/>
    <row r="35" spans="2:12" ht="21.9" customHeight="1" thickTop="1" thickBot="1">
      <c r="B35" s="58"/>
      <c r="C35" s="58"/>
      <c r="D35" s="58"/>
      <c r="E35" s="58"/>
      <c r="F35" s="58"/>
      <c r="G35" s="58"/>
      <c r="H35" s="58"/>
      <c r="I35" s="58"/>
      <c r="J35" s="58"/>
      <c r="K35" s="4" t="s">
        <v>96</v>
      </c>
      <c r="L35" s="3" t="s">
        <v>97</v>
      </c>
    </row>
    <row r="36" spans="2:12" ht="20.100000000000001" customHeight="1" thickTop="1">
      <c r="B36" s="82" t="s">
        <v>861</v>
      </c>
      <c r="C36" s="22" t="str">
        <f>C26</f>
        <v>Balance - January 1, 2024</v>
      </c>
      <c r="D36" s="22"/>
      <c r="E36" s="22"/>
      <c r="F36" s="22"/>
      <c r="G36" s="22"/>
      <c r="H36" s="22"/>
      <c r="I36" s="22"/>
      <c r="J36" s="71"/>
      <c r="K36" s="432"/>
      <c r="L36" s="739" t="s">
        <v>627</v>
      </c>
    </row>
    <row r="37" spans="2:12" ht="20.100000000000001" customHeight="1">
      <c r="B37" s="83" t="s">
        <v>862</v>
      </c>
      <c r="C37" s="5" t="str">
        <f>C27</f>
        <v>2024 Sales from Foreclosed Property</v>
      </c>
      <c r="D37" s="5"/>
      <c r="E37" s="5"/>
      <c r="F37" s="5"/>
      <c r="G37" s="5"/>
      <c r="H37" s="5"/>
      <c r="I37" s="5"/>
      <c r="J37" s="71"/>
      <c r="K37" s="432"/>
      <c r="L37" s="706" t="s">
        <v>627</v>
      </c>
    </row>
    <row r="38" spans="2:12" ht="20.100000000000001" customHeight="1">
      <c r="B38" s="83" t="s">
        <v>863</v>
      </c>
      <c r="C38" s="5" t="s">
        <v>859</v>
      </c>
      <c r="D38" s="5"/>
      <c r="E38" s="5"/>
      <c r="F38" s="5"/>
      <c r="G38" s="5"/>
      <c r="H38" s="5"/>
      <c r="I38" s="5"/>
      <c r="J38" s="71"/>
      <c r="K38" s="740" t="s">
        <v>627</v>
      </c>
      <c r="L38" s="431"/>
    </row>
    <row r="39" spans="2:12" ht="20.100000000000001" customHeight="1">
      <c r="B39" s="83" t="s">
        <v>864</v>
      </c>
      <c r="C39" s="1187"/>
      <c r="D39" s="1187"/>
      <c r="E39" s="1187"/>
      <c r="F39" s="1187"/>
      <c r="G39" s="1187"/>
      <c r="H39" s="1187"/>
      <c r="I39" s="1187"/>
      <c r="J39" s="71"/>
      <c r="K39" s="740" t="s">
        <v>627</v>
      </c>
      <c r="L39" s="431"/>
    </row>
    <row r="40" spans="2:12" ht="20.100000000000001" customHeight="1" thickBot="1">
      <c r="B40" s="83" t="s">
        <v>865</v>
      </c>
      <c r="C40" s="5" t="str">
        <f>C30</f>
        <v>Balance - December 31, 2024</v>
      </c>
      <c r="D40" s="5"/>
      <c r="E40" s="5"/>
      <c r="F40" s="5"/>
      <c r="G40" s="5"/>
      <c r="H40" s="5"/>
      <c r="I40" s="5"/>
      <c r="J40" s="71"/>
      <c r="K40" s="747" t="s">
        <v>627</v>
      </c>
      <c r="L40" s="749">
        <f>SUM(K36:K37)-SUM(L38:L39)</f>
        <v>0</v>
      </c>
    </row>
    <row r="41" spans="2:12" ht="20.100000000000001" customHeight="1" thickTop="1" thickBot="1">
      <c r="B41" s="81"/>
      <c r="K41" s="748">
        <f>SUM(K36:K40)</f>
        <v>0</v>
      </c>
      <c r="L41" s="746">
        <f>SUM(L36:L40)</f>
        <v>0</v>
      </c>
    </row>
    <row r="42" spans="2:12" ht="13.8" thickTop="1">
      <c r="B42" s="93" t="s">
        <v>866</v>
      </c>
      <c r="H42" t="s">
        <v>373</v>
      </c>
      <c r="I42" s="634">
        <f>+L15+L28+L38</f>
        <v>0</v>
      </c>
    </row>
    <row r="43" spans="2:12">
      <c r="B43" s="94" t="str">
        <f>"*Total Cash Collected in "&amp;IF('KEY INPUTS'!C42="State Fiscal Year","Fiscal Year "&amp;'KEY INPUTS'!D33&amp;"",'KEY INPUTS'!D34)</f>
        <v>*Total Cash Collected in 2024</v>
      </c>
      <c r="I43" s="54"/>
    </row>
    <row r="44" spans="2:12" ht="7.5" customHeight="1">
      <c r="B44" s="81"/>
    </row>
    <row r="45" spans="2:12">
      <c r="B45" s="94" t="str">
        <f>"Realized in "&amp;IF('KEY INPUTS'!C42="State Fiscal Year","Fiscal Year "&amp;'KEY INPUTS'!D33&amp;"",'KEY INPUTS'!D34)&amp;" Budget"</f>
        <v>Realized in 2024 Budget</v>
      </c>
      <c r="I45" s="431"/>
    </row>
    <row r="46" spans="2:12" ht="7.5" customHeight="1">
      <c r="B46" s="81"/>
    </row>
    <row r="47" spans="2:12">
      <c r="B47" s="93" t="s">
        <v>867</v>
      </c>
      <c r="I47" s="634">
        <f>+I42-I45</f>
        <v>0</v>
      </c>
    </row>
    <row r="48" spans="2:12">
      <c r="B48" s="93"/>
      <c r="I48" s="750"/>
    </row>
    <row r="49" spans="2:12">
      <c r="B49" s="93"/>
      <c r="I49" s="750"/>
    </row>
    <row r="50" spans="2:12" ht="13.8">
      <c r="B50" s="1191" t="s">
        <v>425</v>
      </c>
      <c r="C50" s="1191"/>
      <c r="D50" s="1191"/>
      <c r="E50" s="1191"/>
      <c r="F50" s="1191"/>
      <c r="G50" s="1191"/>
      <c r="H50" s="1191"/>
      <c r="I50" s="1191"/>
      <c r="J50" s="1191"/>
      <c r="K50" s="1191"/>
      <c r="L50" s="1191"/>
    </row>
    <row r="51" spans="2:12">
      <c r="B51" s="81"/>
    </row>
    <row r="52" spans="2:12">
      <c r="B52" s="81"/>
    </row>
    <row r="53" spans="2:12">
      <c r="B53" s="81"/>
    </row>
    <row r="54" spans="2:12">
      <c r="B54" s="81"/>
    </row>
    <row r="55" spans="2:12">
      <c r="B55" s="81"/>
    </row>
    <row r="56" spans="2:12">
      <c r="B56" s="81"/>
    </row>
    <row r="57" spans="2:12">
      <c r="B57" s="81"/>
    </row>
    <row r="58" spans="2:12">
      <c r="B58" s="81"/>
    </row>
    <row r="59" spans="2:12">
      <c r="B59" s="81"/>
    </row>
    <row r="60" spans="2:12">
      <c r="B60" s="81"/>
    </row>
    <row r="61" spans="2:12">
      <c r="B61" s="81"/>
    </row>
    <row r="62" spans="2:12">
      <c r="B62" s="81"/>
    </row>
    <row r="63" spans="2:12">
      <c r="B63" s="81"/>
    </row>
    <row r="64" spans="2:12">
      <c r="B64" s="81"/>
    </row>
    <row r="65" spans="2:2">
      <c r="B65" s="81"/>
    </row>
    <row r="66" spans="2:2">
      <c r="B66" s="81"/>
    </row>
    <row r="67" spans="2:2">
      <c r="B67" s="81"/>
    </row>
    <row r="68" spans="2:2">
      <c r="B68" s="81"/>
    </row>
    <row r="69" spans="2:2">
      <c r="B69" s="81"/>
    </row>
    <row r="70" spans="2:2">
      <c r="B70" s="81"/>
    </row>
    <row r="71" spans="2:2">
      <c r="B71" s="81"/>
    </row>
    <row r="72" spans="2:2">
      <c r="B72" s="81"/>
    </row>
    <row r="73" spans="2:2">
      <c r="B73" s="81"/>
    </row>
    <row r="74" spans="2:2">
      <c r="B74" s="81"/>
    </row>
    <row r="75" spans="2:2">
      <c r="B75" s="81"/>
    </row>
    <row r="76" spans="2:2">
      <c r="B76" s="81"/>
    </row>
    <row r="77" spans="2:2">
      <c r="B77" s="81"/>
    </row>
    <row r="78" spans="2:2">
      <c r="B78" s="81"/>
    </row>
    <row r="79" spans="2:2">
      <c r="B79" s="81"/>
    </row>
    <row r="80" spans="2:2">
      <c r="B80" s="81"/>
    </row>
    <row r="81" spans="2:2">
      <c r="B81" s="81"/>
    </row>
  </sheetData>
  <sheetProtection algorithmName="SHA-512" hashValue="wpIUfGAtvVfEBrFmA29ARJy1Nityv3iXFq/pDaCuXjwlIret6VCHDmEXRhQ8do72UTWkekjR3xtEiaIgYgJAqA==" saltValue="gT1xAdi4KiMetMkpCyhn1g==" spinCount="100000" sheet="1" objects="1" scenarios="1"/>
  <mergeCells count="9">
    <mergeCell ref="B50:L50"/>
    <mergeCell ref="B2:L2"/>
    <mergeCell ref="B3:L3"/>
    <mergeCell ref="B23:L23"/>
    <mergeCell ref="B33:L33"/>
    <mergeCell ref="C10:I10"/>
    <mergeCell ref="C11:I11"/>
    <mergeCell ref="C29:I29"/>
    <mergeCell ref="C39:I39"/>
  </mergeCells>
  <phoneticPr fontId="0" type="noConversion"/>
  <pageMargins left="0.25" right="0.25" top="0.5" bottom="0.5" header="0.25" footer="0.25"/>
  <pageSetup paperSize="5"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26"/>
  <dimension ref="B3:Q66"/>
  <sheetViews>
    <sheetView zoomScaleNormal="100" workbookViewId="0">
      <selection activeCell="S39" sqref="S39"/>
    </sheetView>
  </sheetViews>
  <sheetFormatPr defaultRowHeight="13.2"/>
  <cols>
    <col min="1" max="1" width="4.33203125" customWidth="1"/>
    <col min="2" max="2" width="3.5546875" bestFit="1" customWidth="1"/>
    <col min="3" max="3" width="4.6640625" customWidth="1"/>
    <col min="4" max="4" width="12.88671875" bestFit="1" customWidth="1"/>
    <col min="5" max="5" width="7.6640625" customWidth="1"/>
    <col min="6" max="6" width="6.88671875" customWidth="1"/>
    <col min="7" max="7" width="1.6640625" customWidth="1"/>
    <col min="8" max="8" width="12.5546875" bestFit="1" customWidth="1"/>
    <col min="9" max="9" width="1.6640625" customWidth="1"/>
    <col min="10" max="10" width="15.109375" bestFit="1" customWidth="1"/>
    <col min="11" max="11" width="1.6640625" customWidth="1"/>
    <col min="12" max="12" width="17.5546875" customWidth="1"/>
    <col min="13" max="13" width="1.6640625" customWidth="1"/>
    <col min="14" max="14" width="15.109375" bestFit="1" customWidth="1"/>
    <col min="16" max="16" width="10.33203125" bestFit="1" customWidth="1"/>
  </cols>
  <sheetData>
    <row r="3" spans="2:17" ht="20.399999999999999">
      <c r="B3" s="1131" t="s">
        <v>868</v>
      </c>
      <c r="C3" s="1131"/>
      <c r="D3" s="1131"/>
      <c r="E3" s="1131"/>
      <c r="F3" s="1131"/>
      <c r="G3" s="1131"/>
      <c r="H3" s="1131"/>
      <c r="I3" s="1131"/>
      <c r="J3" s="1131"/>
      <c r="K3" s="1131"/>
      <c r="L3" s="1131"/>
      <c r="M3" s="1131"/>
      <c r="N3" s="1131"/>
    </row>
    <row r="4" spans="2:17" ht="15.6">
      <c r="B4" s="1249" t="s">
        <v>421</v>
      </c>
      <c r="C4" s="1249"/>
      <c r="D4" s="1249"/>
      <c r="E4" s="1249"/>
      <c r="F4" s="1249"/>
      <c r="G4" s="1249"/>
      <c r="H4" s="1249"/>
      <c r="I4" s="1249"/>
      <c r="J4" s="1249"/>
      <c r="K4" s="1249"/>
      <c r="L4" s="1249"/>
      <c r="M4" s="1249"/>
      <c r="N4" s="1249"/>
    </row>
    <row r="5" spans="2:17" ht="20.399999999999999">
      <c r="B5" s="1131" t="s">
        <v>422</v>
      </c>
      <c r="C5" s="1131"/>
      <c r="D5" s="1131"/>
      <c r="E5" s="1131"/>
      <c r="F5" s="1131"/>
      <c r="G5" s="1131"/>
      <c r="H5" s="1131"/>
      <c r="I5" s="1131"/>
      <c r="J5" s="1131"/>
      <c r="K5" s="1131"/>
      <c r="L5" s="1131"/>
      <c r="M5" s="1131"/>
      <c r="N5" s="1131"/>
    </row>
    <row r="6" spans="2:17">
      <c r="B6" s="1158" t="s">
        <v>3633</v>
      </c>
      <c r="C6" s="1158"/>
      <c r="D6" s="1158"/>
      <c r="E6" s="1158"/>
      <c r="F6" s="1158"/>
      <c r="G6" s="1158"/>
      <c r="H6" s="1158"/>
      <c r="I6" s="1158"/>
      <c r="J6" s="1158"/>
      <c r="K6" s="1158"/>
      <c r="L6" s="1158"/>
      <c r="M6" s="1158"/>
      <c r="N6" s="1158"/>
    </row>
    <row r="7" spans="2:17">
      <c r="B7" s="1158" t="s">
        <v>3634</v>
      </c>
      <c r="C7" s="1158"/>
      <c r="D7" s="1158"/>
      <c r="E7" s="1158"/>
      <c r="F7" s="1158"/>
      <c r="G7" s="1158"/>
      <c r="H7" s="1158"/>
      <c r="I7" s="1158"/>
      <c r="J7" s="1158"/>
      <c r="K7" s="1158"/>
      <c r="L7" s="1158"/>
      <c r="M7" s="1158"/>
      <c r="N7" s="1158"/>
    </row>
    <row r="9" spans="2:17">
      <c r="H9" s="1" t="s">
        <v>414</v>
      </c>
    </row>
    <row r="10" spans="2:17">
      <c r="C10" s="1190" t="s">
        <v>434</v>
      </c>
      <c r="D10" s="1190"/>
      <c r="E10" s="1190"/>
      <c r="H10" s="243" t="str">
        <f>IF('KEY INPUTS'!C42 = "State Fiscal Year", 'KEY INPUTS'!F46,'KEY INPUTS'!D46)</f>
        <v>Dec. 31, 2023</v>
      </c>
      <c r="J10" s="1" t="s">
        <v>435</v>
      </c>
      <c r="L10" s="1" t="s">
        <v>414</v>
      </c>
      <c r="N10" s="1" t="s">
        <v>529</v>
      </c>
    </row>
    <row r="11" spans="2:17">
      <c r="H11" s="1" t="s">
        <v>433</v>
      </c>
      <c r="J11" s="1" t="str">
        <f>IF('KEY INPUTS'!C42="State Fiscal Year","Fiscal Year "&amp;'KEY INPUTS'!D33&amp;"",'KEY INPUTS'!D34)&amp;""</f>
        <v>2024</v>
      </c>
      <c r="L11" s="1" t="s">
        <v>3564</v>
      </c>
      <c r="N11" s="1" t="s">
        <v>437</v>
      </c>
    </row>
    <row r="12" spans="2:17">
      <c r="H12" s="124" t="s">
        <v>432</v>
      </c>
      <c r="J12" s="124" t="s">
        <v>534</v>
      </c>
      <c r="L12" s="124" t="str">
        <f>IF('KEY INPUTS'!C42="State Fiscal Year","Fiscal Year "&amp;'KEY INPUTS'!D33&amp;"",'KEY INPUTS'!D34)&amp;""</f>
        <v>2024</v>
      </c>
      <c r="N12" s="241" t="str">
        <f>IF('KEY INPUTS'!C42 = "State Fiscal Year", 'KEY INPUTS'!F47,'KEY INPUTS'!D47)</f>
        <v>Dec. 31, 2024</v>
      </c>
    </row>
    <row r="13" spans="2:17">
      <c r="B13" s="81"/>
      <c r="C13" t="s">
        <v>869</v>
      </c>
      <c r="H13" s="61"/>
      <c r="J13" s="61"/>
      <c r="L13" s="61"/>
      <c r="N13" s="751"/>
    </row>
    <row r="14" spans="2:17">
      <c r="B14" s="81"/>
      <c r="D14" t="s">
        <v>870</v>
      </c>
      <c r="G14" t="s">
        <v>373</v>
      </c>
      <c r="H14" s="431"/>
      <c r="I14" t="s">
        <v>373</v>
      </c>
      <c r="J14" s="431"/>
      <c r="K14" t="s">
        <v>373</v>
      </c>
      <c r="L14" s="431"/>
      <c r="M14" t="s">
        <v>373</v>
      </c>
      <c r="N14" s="634">
        <f>+H14-J14+L14</f>
        <v>0</v>
      </c>
    </row>
    <row r="15" spans="2:17">
      <c r="B15" s="81"/>
      <c r="H15" s="61"/>
      <c r="J15" s="61"/>
      <c r="L15" s="61"/>
      <c r="N15" s="628"/>
      <c r="Q15" s="294"/>
    </row>
    <row r="16" spans="2:17">
      <c r="B16" s="81"/>
      <c r="C16" t="s">
        <v>869</v>
      </c>
      <c r="H16" s="61"/>
      <c r="J16" s="61"/>
      <c r="L16" s="61"/>
      <c r="N16" s="628"/>
    </row>
    <row r="17" spans="2:14">
      <c r="B17" s="81"/>
      <c r="D17" t="s">
        <v>871</v>
      </c>
      <c r="G17" t="s">
        <v>373</v>
      </c>
      <c r="H17" s="431"/>
      <c r="I17" t="s">
        <v>373</v>
      </c>
      <c r="J17" s="431"/>
      <c r="K17" t="s">
        <v>373</v>
      </c>
      <c r="L17" s="431"/>
      <c r="M17" t="s">
        <v>373</v>
      </c>
      <c r="N17" s="634">
        <f>+H17-J17+L17</f>
        <v>0</v>
      </c>
    </row>
    <row r="18" spans="2:14" ht="21" customHeight="1">
      <c r="B18" s="81"/>
      <c r="C18" s="590" t="s">
        <v>3474</v>
      </c>
      <c r="D18" s="30"/>
      <c r="E18" s="30"/>
      <c r="F18" s="30"/>
      <c r="G18" t="s">
        <v>373</v>
      </c>
      <c r="H18" s="431"/>
      <c r="I18" t="s">
        <v>373</v>
      </c>
      <c r="J18" s="431"/>
      <c r="K18" t="s">
        <v>373</v>
      </c>
      <c r="L18" s="431"/>
      <c r="M18" t="s">
        <v>373</v>
      </c>
      <c r="N18" s="634">
        <f>+H18-J18+L18</f>
        <v>0</v>
      </c>
    </row>
    <row r="19" spans="2:14" ht="21" customHeight="1">
      <c r="B19" s="81"/>
      <c r="C19" s="1187"/>
      <c r="D19" s="1187"/>
      <c r="E19" s="1187"/>
      <c r="F19" s="1187"/>
      <c r="G19" t="s">
        <v>373</v>
      </c>
      <c r="H19" s="431"/>
      <c r="I19" t="s">
        <v>373</v>
      </c>
      <c r="J19" s="431"/>
      <c r="K19" t="s">
        <v>373</v>
      </c>
      <c r="L19" s="431"/>
      <c r="M19" t="s">
        <v>373</v>
      </c>
      <c r="N19" s="634">
        <f t="shared" ref="N19:N24" si="0">+H19-J19+L19</f>
        <v>0</v>
      </c>
    </row>
    <row r="20" spans="2:14" ht="21" customHeight="1">
      <c r="B20" s="81"/>
      <c r="C20" s="1187"/>
      <c r="D20" s="1187"/>
      <c r="E20" s="1187"/>
      <c r="F20" s="1187"/>
      <c r="G20" t="s">
        <v>373</v>
      </c>
      <c r="H20" s="431"/>
      <c r="I20" t="s">
        <v>373</v>
      </c>
      <c r="J20" s="431"/>
      <c r="K20" t="s">
        <v>373</v>
      </c>
      <c r="L20" s="431"/>
      <c r="M20" t="s">
        <v>373</v>
      </c>
      <c r="N20" s="634">
        <f t="shared" si="0"/>
        <v>0</v>
      </c>
    </row>
    <row r="21" spans="2:14" ht="21" customHeight="1">
      <c r="B21" s="81"/>
      <c r="C21" s="1187"/>
      <c r="D21" s="1187"/>
      <c r="E21" s="1187"/>
      <c r="F21" s="1187"/>
      <c r="G21" t="s">
        <v>373</v>
      </c>
      <c r="H21" s="431"/>
      <c r="I21" t="s">
        <v>373</v>
      </c>
      <c r="J21" s="431"/>
      <c r="K21" t="s">
        <v>373</v>
      </c>
      <c r="L21" s="431"/>
      <c r="M21" t="s">
        <v>373</v>
      </c>
      <c r="N21" s="634">
        <f t="shared" si="0"/>
        <v>0</v>
      </c>
    </row>
    <row r="22" spans="2:14" ht="21" customHeight="1">
      <c r="B22" s="81"/>
      <c r="C22" s="1187"/>
      <c r="D22" s="1187"/>
      <c r="E22" s="1187"/>
      <c r="F22" s="1187"/>
      <c r="G22" t="s">
        <v>373</v>
      </c>
      <c r="H22" s="431"/>
      <c r="I22" t="s">
        <v>373</v>
      </c>
      <c r="J22" s="431"/>
      <c r="K22" t="s">
        <v>373</v>
      </c>
      <c r="L22" s="431"/>
      <c r="M22" t="s">
        <v>373</v>
      </c>
      <c r="N22" s="634">
        <f t="shared" si="0"/>
        <v>0</v>
      </c>
    </row>
    <row r="23" spans="2:14" ht="21" customHeight="1">
      <c r="B23" s="81"/>
      <c r="C23" s="1187"/>
      <c r="D23" s="1187"/>
      <c r="E23" s="1187"/>
      <c r="F23" s="1187"/>
      <c r="G23" t="s">
        <v>373</v>
      </c>
      <c r="H23" s="431"/>
      <c r="I23" t="s">
        <v>373</v>
      </c>
      <c r="J23" s="431"/>
      <c r="K23" t="s">
        <v>373</v>
      </c>
      <c r="L23" s="431"/>
      <c r="M23" t="s">
        <v>373</v>
      </c>
      <c r="N23" s="634">
        <f t="shared" si="0"/>
        <v>0</v>
      </c>
    </row>
    <row r="24" spans="2:14" ht="21" customHeight="1">
      <c r="B24" s="81"/>
      <c r="C24" s="1187"/>
      <c r="D24" s="1187"/>
      <c r="E24" s="1187"/>
      <c r="F24" s="1187"/>
      <c r="G24" t="s">
        <v>373</v>
      </c>
      <c r="H24" s="431"/>
      <c r="I24" t="s">
        <v>373</v>
      </c>
      <c r="J24" s="431"/>
      <c r="K24" t="s">
        <v>373</v>
      </c>
      <c r="L24" s="431"/>
      <c r="M24" t="s">
        <v>373</v>
      </c>
      <c r="N24" s="634">
        <f t="shared" si="0"/>
        <v>0</v>
      </c>
    </row>
    <row r="25" spans="2:14" ht="21" customHeight="1">
      <c r="B25" s="81"/>
      <c r="C25" s="590" t="s">
        <v>3245</v>
      </c>
      <c r="D25" s="30"/>
      <c r="E25" s="30"/>
      <c r="F25" s="30"/>
      <c r="G25" t="s">
        <v>373</v>
      </c>
      <c r="H25" s="634">
        <f>SUM(H14:H24)</f>
        <v>0</v>
      </c>
      <c r="I25" t="s">
        <v>373</v>
      </c>
      <c r="J25" s="634">
        <f>SUM(J14:J24)</f>
        <v>0</v>
      </c>
      <c r="K25" t="s">
        <v>373</v>
      </c>
      <c r="L25" s="634">
        <f>SUM(L14:L24)</f>
        <v>0</v>
      </c>
      <c r="M25" t="s">
        <v>373</v>
      </c>
      <c r="N25" s="634">
        <f>SUM(N14:N24)</f>
        <v>0</v>
      </c>
    </row>
    <row r="26" spans="2:14">
      <c r="B26" s="81"/>
    </row>
    <row r="27" spans="2:14">
      <c r="B27" s="81"/>
      <c r="C27" s="112" t="s">
        <v>872</v>
      </c>
    </row>
    <row r="28" spans="2:14">
      <c r="B28" s="81"/>
    </row>
    <row r="29" spans="2:14">
      <c r="B29" s="81"/>
    </row>
    <row r="30" spans="2:14" ht="15.6">
      <c r="B30" s="1244" t="s">
        <v>3354</v>
      </c>
      <c r="C30" s="1244"/>
      <c r="D30" s="1244"/>
      <c r="E30" s="1244"/>
      <c r="F30" s="1244"/>
      <c r="G30" s="1244"/>
      <c r="H30" s="1244"/>
      <c r="I30" s="1244"/>
      <c r="J30" s="1244"/>
      <c r="K30" s="1244"/>
      <c r="L30" s="1244"/>
      <c r="M30" s="1244"/>
      <c r="N30" s="1244"/>
    </row>
    <row r="31" spans="2:14" ht="15.6">
      <c r="B31" s="1244" t="s">
        <v>3635</v>
      </c>
      <c r="C31" s="1244"/>
      <c r="D31" s="1244"/>
      <c r="E31" s="1244"/>
      <c r="F31" s="1244"/>
      <c r="G31" s="1244"/>
      <c r="H31" s="1244"/>
      <c r="I31" s="1244"/>
      <c r="J31" s="1244"/>
      <c r="K31" s="1244"/>
      <c r="L31" s="1244"/>
      <c r="M31" s="1244"/>
      <c r="N31" s="1244"/>
    </row>
    <row r="32" spans="2:14" ht="6.75" customHeight="1">
      <c r="B32" s="123"/>
      <c r="C32" s="123"/>
      <c r="D32" s="123"/>
      <c r="E32" s="123"/>
      <c r="F32" s="123"/>
      <c r="G32" s="123"/>
      <c r="H32" s="123"/>
      <c r="I32" s="123"/>
      <c r="J32" s="123"/>
      <c r="K32" s="123"/>
      <c r="L32" s="123"/>
      <c r="M32" s="123"/>
      <c r="N32" s="123"/>
    </row>
    <row r="33" spans="2:14" ht="18" customHeight="1">
      <c r="B33" s="81"/>
      <c r="D33" s="1248" t="s">
        <v>17</v>
      </c>
      <c r="E33" s="1248"/>
      <c r="F33" s="102"/>
      <c r="G33" s="1248" t="s">
        <v>413</v>
      </c>
      <c r="H33" s="1248"/>
      <c r="I33" s="1248"/>
      <c r="J33" s="1248"/>
      <c r="K33" s="1248"/>
      <c r="L33" s="1248"/>
      <c r="M33" s="102"/>
      <c r="N33" s="125" t="s">
        <v>414</v>
      </c>
    </row>
    <row r="34" spans="2:14" ht="21" customHeight="1">
      <c r="B34" s="81"/>
      <c r="C34" s="81" t="s">
        <v>292</v>
      </c>
      <c r="D34" s="1243"/>
      <c r="E34" s="1243"/>
      <c r="G34" s="1246"/>
      <c r="H34" s="1246"/>
      <c r="I34" s="1246"/>
      <c r="J34" s="1246"/>
      <c r="K34" s="1246"/>
      <c r="L34" s="1246"/>
      <c r="M34" t="s">
        <v>373</v>
      </c>
      <c r="N34" s="431"/>
    </row>
    <row r="35" spans="2:14" ht="21" customHeight="1">
      <c r="B35" s="81"/>
      <c r="C35" s="81" t="s">
        <v>293</v>
      </c>
      <c r="D35" s="1243"/>
      <c r="E35" s="1243"/>
      <c r="G35" s="1246"/>
      <c r="H35" s="1246"/>
      <c r="I35" s="1246"/>
      <c r="J35" s="1246"/>
      <c r="K35" s="1246"/>
      <c r="L35" s="1246"/>
      <c r="M35" t="s">
        <v>373</v>
      </c>
      <c r="N35" s="431"/>
    </row>
    <row r="36" spans="2:14" ht="21" customHeight="1">
      <c r="B36" s="81"/>
      <c r="C36" s="81" t="s">
        <v>294</v>
      </c>
      <c r="D36" s="1243"/>
      <c r="E36" s="1243"/>
      <c r="G36" s="1246"/>
      <c r="H36" s="1246"/>
      <c r="I36" s="1246"/>
      <c r="J36" s="1246"/>
      <c r="K36" s="1246"/>
      <c r="L36" s="1246"/>
      <c r="M36" t="s">
        <v>373</v>
      </c>
      <c r="N36" s="431"/>
    </row>
    <row r="37" spans="2:14" ht="21" customHeight="1">
      <c r="B37" s="81"/>
      <c r="C37" s="81" t="s">
        <v>295</v>
      </c>
      <c r="D37" s="1243"/>
      <c r="E37" s="1243"/>
      <c r="G37" s="1246"/>
      <c r="H37" s="1246"/>
      <c r="I37" s="1246"/>
      <c r="J37" s="1246"/>
      <c r="K37" s="1246"/>
      <c r="L37" s="1246"/>
      <c r="M37" t="s">
        <v>373</v>
      </c>
      <c r="N37" s="431"/>
    </row>
    <row r="38" spans="2:14" ht="21" customHeight="1">
      <c r="B38" s="81"/>
      <c r="C38" s="81" t="s">
        <v>296</v>
      </c>
      <c r="D38" s="1243"/>
      <c r="E38" s="1243"/>
      <c r="G38" s="1246"/>
      <c r="H38" s="1246"/>
      <c r="I38" s="1246"/>
      <c r="J38" s="1246"/>
      <c r="K38" s="1246"/>
      <c r="L38" s="1246"/>
      <c r="M38" t="s">
        <v>373</v>
      </c>
      <c r="N38" s="431"/>
    </row>
    <row r="39" spans="2:14">
      <c r="B39" s="81"/>
    </row>
    <row r="40" spans="2:14">
      <c r="B40" s="81"/>
    </row>
    <row r="41" spans="2:14">
      <c r="B41" s="81"/>
    </row>
    <row r="42" spans="2:14" ht="15.6">
      <c r="B42" s="1244" t="s">
        <v>250</v>
      </c>
      <c r="C42" s="1244"/>
      <c r="D42" s="1244"/>
      <c r="E42" s="1244"/>
      <c r="F42" s="1244"/>
      <c r="G42" s="1244"/>
      <c r="H42" s="1244"/>
      <c r="I42" s="1244"/>
      <c r="J42" s="1244"/>
      <c r="K42" s="1244"/>
      <c r="L42" s="1244"/>
      <c r="M42" s="1244"/>
      <c r="N42" s="1244"/>
    </row>
    <row r="43" spans="2:14">
      <c r="B43" s="81"/>
    </row>
    <row r="44" spans="2:14">
      <c r="B44" s="81"/>
      <c r="N44" s="1" t="s">
        <v>419</v>
      </c>
    </row>
    <row r="45" spans="2:14">
      <c r="B45" s="81"/>
      <c r="N45" s="1" t="s">
        <v>420</v>
      </c>
    </row>
    <row r="46" spans="2:14">
      <c r="B46" s="81"/>
      <c r="D46" s="1190" t="s">
        <v>416</v>
      </c>
      <c r="E46" s="1190"/>
      <c r="F46" s="1190"/>
      <c r="H46" s="1245" t="s">
        <v>417</v>
      </c>
      <c r="I46" s="1245"/>
      <c r="J46" s="124" t="s">
        <v>418</v>
      </c>
      <c r="L46" s="124" t="s">
        <v>414</v>
      </c>
      <c r="N46" s="124" t="str">
        <f>IF('KEY INPUTS'!C42="State Fiscal Year","Fiscal Year "&amp;'KEY INPUTS'!D33&amp;"","Year "&amp;'KEY INPUTS'!D34&amp;"")</f>
        <v>Year 2024</v>
      </c>
    </row>
    <row r="47" spans="2:14">
      <c r="B47" s="81"/>
    </row>
    <row r="48" spans="2:14" ht="21" customHeight="1">
      <c r="B48" s="81"/>
      <c r="C48" s="81" t="s">
        <v>292</v>
      </c>
      <c r="D48" s="1247"/>
      <c r="E48" s="1247"/>
      <c r="F48" s="1247"/>
      <c r="G48" s="30"/>
      <c r="H48" s="431"/>
      <c r="I48" s="30"/>
      <c r="J48" s="431"/>
      <c r="K48" t="s">
        <v>373</v>
      </c>
      <c r="L48" s="431"/>
      <c r="M48" s="61"/>
      <c r="N48" s="431"/>
    </row>
    <row r="49" spans="2:14" ht="21" customHeight="1">
      <c r="B49" s="81"/>
      <c r="C49" s="81" t="s">
        <v>293</v>
      </c>
      <c r="D49" s="1247"/>
      <c r="E49" s="1247"/>
      <c r="F49" s="1247"/>
      <c r="G49" s="30"/>
      <c r="H49" s="431"/>
      <c r="I49" s="30"/>
      <c r="J49" s="431"/>
      <c r="K49" t="s">
        <v>373</v>
      </c>
      <c r="L49" s="431"/>
      <c r="M49" s="61"/>
      <c r="N49" s="431"/>
    </row>
    <row r="50" spans="2:14" ht="21" customHeight="1">
      <c r="B50" s="81"/>
      <c r="C50" s="81" t="s">
        <v>294</v>
      </c>
      <c r="D50" s="1247"/>
      <c r="E50" s="1247"/>
      <c r="F50" s="1247"/>
      <c r="G50" s="30"/>
      <c r="H50" s="431"/>
      <c r="I50" s="30"/>
      <c r="J50" s="431"/>
      <c r="K50" t="s">
        <v>373</v>
      </c>
      <c r="L50" s="431"/>
      <c r="M50" s="61"/>
      <c r="N50" s="431"/>
    </row>
    <row r="51" spans="2:14" ht="21" customHeight="1">
      <c r="B51" s="81"/>
      <c r="C51" s="81" t="s">
        <v>295</v>
      </c>
      <c r="D51" s="1247"/>
      <c r="E51" s="1247"/>
      <c r="F51" s="1247"/>
      <c r="G51" s="30"/>
      <c r="H51" s="431"/>
      <c r="I51" s="30"/>
      <c r="J51" s="431"/>
      <c r="K51" t="s">
        <v>373</v>
      </c>
      <c r="L51" s="431"/>
      <c r="M51" s="61"/>
      <c r="N51" s="431"/>
    </row>
    <row r="52" spans="2:14">
      <c r="B52" s="81"/>
      <c r="L52" s="61"/>
      <c r="M52" s="61"/>
      <c r="N52" s="61"/>
    </row>
    <row r="53" spans="2:14">
      <c r="B53" s="81"/>
    </row>
    <row r="54" spans="2:14">
      <c r="B54" s="81"/>
    </row>
    <row r="55" spans="2:14">
      <c r="B55" s="81"/>
    </row>
    <row r="56" spans="2:14">
      <c r="B56" s="81"/>
    </row>
    <row r="57" spans="2:14">
      <c r="B57" s="81"/>
    </row>
    <row r="58" spans="2:14" ht="13.8">
      <c r="B58" s="1191" t="s">
        <v>415</v>
      </c>
      <c r="C58" s="1191"/>
      <c r="D58" s="1191"/>
      <c r="E58" s="1191"/>
      <c r="F58" s="1191"/>
      <c r="G58" s="1191"/>
      <c r="H58" s="1191"/>
      <c r="I58" s="1191"/>
      <c r="J58" s="1191"/>
      <c r="K58" s="1191"/>
      <c r="L58" s="1191"/>
      <c r="M58" s="1191"/>
      <c r="N58" s="1191"/>
    </row>
    <row r="59" spans="2:14">
      <c r="B59" s="81"/>
    </row>
    <row r="60" spans="2:14">
      <c r="B60" s="81"/>
    </row>
    <row r="61" spans="2:14">
      <c r="B61" s="81"/>
    </row>
    <row r="62" spans="2:14">
      <c r="B62" s="81"/>
    </row>
    <row r="63" spans="2:14">
      <c r="B63" s="81"/>
    </row>
    <row r="64" spans="2:14">
      <c r="B64" s="81"/>
    </row>
    <row r="65" spans="2:2">
      <c r="B65" s="81"/>
    </row>
    <row r="66" spans="2:2">
      <c r="B66" s="81"/>
    </row>
  </sheetData>
  <sheetProtection algorithmName="SHA-512" hashValue="iXn1viSldKojzoDhCjWqOL2iGuwLf5YyI8vj7Mdtnq37wu4a9qGrXZiJ9+iKFVc0J51IXWG72GNXJakD67UZkQ==" saltValue="s7SIwP3ZSfwDnpORpBLu3Q==" spinCount="100000" sheet="1" objects="1" scenarios="1"/>
  <mergeCells count="34">
    <mergeCell ref="B3:N3"/>
    <mergeCell ref="B30:N30"/>
    <mergeCell ref="B31:N31"/>
    <mergeCell ref="D33:E33"/>
    <mergeCell ref="G33:L33"/>
    <mergeCell ref="B4:N4"/>
    <mergeCell ref="B5:N5"/>
    <mergeCell ref="B6:N6"/>
    <mergeCell ref="B7:N7"/>
    <mergeCell ref="C10:E10"/>
    <mergeCell ref="C22:F22"/>
    <mergeCell ref="C23:F23"/>
    <mergeCell ref="C24:F24"/>
    <mergeCell ref="G34:L34"/>
    <mergeCell ref="G35:L35"/>
    <mergeCell ref="C20:F20"/>
    <mergeCell ref="C19:F19"/>
    <mergeCell ref="C21:F21"/>
    <mergeCell ref="D34:E34"/>
    <mergeCell ref="D35:E35"/>
    <mergeCell ref="D36:E36"/>
    <mergeCell ref="D37:E37"/>
    <mergeCell ref="D38:E38"/>
    <mergeCell ref="B58:N58"/>
    <mergeCell ref="B42:N42"/>
    <mergeCell ref="H46:I46"/>
    <mergeCell ref="G36:L36"/>
    <mergeCell ref="G37:L37"/>
    <mergeCell ref="G38:L38"/>
    <mergeCell ref="D48:F48"/>
    <mergeCell ref="D49:F49"/>
    <mergeCell ref="D50:F50"/>
    <mergeCell ref="D51:F51"/>
    <mergeCell ref="D46:F46"/>
  </mergeCells>
  <phoneticPr fontId="0" type="noConversion"/>
  <pageMargins left="0.25" right="0.25" top="0.5" bottom="0.5" header="0.25" footer="0.25"/>
  <pageSetup paperSize="5" scale="96"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27"/>
  <dimension ref="A2:O36"/>
  <sheetViews>
    <sheetView zoomScaleNormal="100" workbookViewId="0">
      <selection activeCell="M29" sqref="M29"/>
    </sheetView>
  </sheetViews>
  <sheetFormatPr defaultRowHeight="13.2"/>
  <cols>
    <col min="1" max="1" width="5.6640625" customWidth="1"/>
    <col min="2" max="4" width="4.88671875" customWidth="1"/>
    <col min="5" max="5" width="46.6640625" customWidth="1"/>
    <col min="6" max="6" width="7.6640625" customWidth="1"/>
    <col min="7" max="8" width="16.6640625" customWidth="1"/>
    <col min="9" max="12" width="15.6640625" customWidth="1"/>
    <col min="13" max="13" width="10.44140625" bestFit="1" customWidth="1"/>
  </cols>
  <sheetData>
    <row r="2" spans="1:15" ht="17.399999999999999">
      <c r="B2" s="113"/>
      <c r="C2" s="113" t="s">
        <v>3521</v>
      </c>
      <c r="F2" t="s">
        <v>446</v>
      </c>
    </row>
    <row r="3" spans="1:15">
      <c r="F3" t="s">
        <v>483</v>
      </c>
    </row>
    <row r="4" spans="1:15">
      <c r="F4" t="s">
        <v>122</v>
      </c>
    </row>
    <row r="5" spans="1:15" ht="13.8" thickBot="1"/>
    <row r="6" spans="1:15" ht="16.2" thickTop="1">
      <c r="B6" s="11"/>
      <c r="C6" s="11"/>
      <c r="D6" s="11"/>
      <c r="E6" s="752"/>
      <c r="F6" s="11"/>
      <c r="G6" s="12"/>
      <c r="H6" s="51"/>
      <c r="I6" s="12"/>
      <c r="J6" s="1250" t="s">
        <v>3565</v>
      </c>
      <c r="K6" s="1251"/>
      <c r="L6" s="18"/>
    </row>
    <row r="7" spans="1:15" ht="15.6">
      <c r="B7" s="1174" t="s">
        <v>17</v>
      </c>
      <c r="C7" s="1174"/>
      <c r="D7" s="1174"/>
      <c r="E7" s="1252" t="s">
        <v>413</v>
      </c>
      <c r="F7" s="1214"/>
      <c r="G7" s="13" t="s">
        <v>414</v>
      </c>
      <c r="H7" s="1" t="s">
        <v>442</v>
      </c>
      <c r="I7" s="13" t="s">
        <v>529</v>
      </c>
      <c r="J7" s="1192" t="str">
        <f>IF('KEY INPUTS'!C42="State Fiscal Year","Fiscal Year "&amp;'KEY INPUTS'!D33&amp;"",'KEY INPUTS'!D34)&amp;""</f>
        <v>2024</v>
      </c>
      <c r="K7" s="1194"/>
      <c r="L7" s="21" t="s">
        <v>529</v>
      </c>
    </row>
    <row r="8" spans="1:15">
      <c r="E8" s="70"/>
      <c r="G8" s="13" t="s">
        <v>441</v>
      </c>
      <c r="H8" s="1" t="s">
        <v>443</v>
      </c>
      <c r="I8" s="245" t="str">
        <f>IF('KEY INPUTS'!C42 = "State Fiscal Year", 'KEY INPUTS'!F46,'KEY INPUTS'!D46)</f>
        <v>Dec. 31, 2023</v>
      </c>
      <c r="J8" s="13" t="str">
        <f>"By "&amp;IF('KEY INPUTS'!C42="State Fiscal Year","FY "&amp;'KEY INPUTS'!D33&amp;"",'KEY INPUTS'!D34)&amp;""</f>
        <v>By 2024</v>
      </c>
      <c r="K8" s="13" t="s">
        <v>439</v>
      </c>
      <c r="L8" s="244" t="str">
        <f>IF('KEY INPUTS'!C42 = "State Fiscal Year", 'KEY INPUTS'!F47,'KEY INPUTS'!D47)</f>
        <v>Dec. 31, 2024</v>
      </c>
    </row>
    <row r="9" spans="1:15" ht="13.8" thickBot="1">
      <c r="B9" s="10"/>
      <c r="C9" s="10"/>
      <c r="D9" s="10"/>
      <c r="E9" s="17"/>
      <c r="F9" s="10"/>
      <c r="G9" s="16"/>
      <c r="H9" s="29" t="s">
        <v>444</v>
      </c>
      <c r="I9" s="14"/>
      <c r="J9" s="16" t="s">
        <v>534</v>
      </c>
      <c r="K9" s="16" t="s">
        <v>440</v>
      </c>
      <c r="L9" s="19"/>
    </row>
    <row r="10" spans="1:15" ht="21" customHeight="1" thickTop="1">
      <c r="B10" s="1253"/>
      <c r="C10" s="1253"/>
      <c r="D10" s="1254"/>
      <c r="E10" s="441"/>
      <c r="F10" s="421"/>
      <c r="G10" s="442"/>
      <c r="H10" s="442"/>
      <c r="I10" s="443"/>
      <c r="J10" s="443"/>
      <c r="K10" s="443"/>
      <c r="L10" s="990">
        <f>+I10-J10-K10</f>
        <v>0</v>
      </c>
    </row>
    <row r="11" spans="1:15" ht="21" customHeight="1">
      <c r="B11" s="1255"/>
      <c r="C11" s="1156"/>
      <c r="D11" s="1256"/>
      <c r="E11" s="444"/>
      <c r="F11" s="423"/>
      <c r="G11" s="432"/>
      <c r="H11" s="432"/>
      <c r="I11" s="291"/>
      <c r="J11" s="291"/>
      <c r="K11" s="291"/>
      <c r="L11" s="991">
        <f>+I11-J11-K11</f>
        <v>0</v>
      </c>
      <c r="M11" s="204"/>
    </row>
    <row r="12" spans="1:15" ht="21" customHeight="1">
      <c r="B12" s="1255"/>
      <c r="C12" s="1156"/>
      <c r="D12" s="1256"/>
      <c r="E12" s="444"/>
      <c r="F12" s="423"/>
      <c r="G12" s="445"/>
      <c r="H12" s="432"/>
      <c r="I12" s="446"/>
      <c r="J12" s="291"/>
      <c r="K12" s="291"/>
      <c r="L12" s="991">
        <f t="shared" ref="L12:L23" si="0">+I12-J12-K12</f>
        <v>0</v>
      </c>
      <c r="M12" s="204"/>
    </row>
    <row r="13" spans="1:15" ht="21" customHeight="1">
      <c r="B13" s="1156"/>
      <c r="C13" s="1156"/>
      <c r="D13" s="1256"/>
      <c r="E13" s="444"/>
      <c r="F13" s="423"/>
      <c r="G13" s="432"/>
      <c r="H13" s="432"/>
      <c r="I13" s="291"/>
      <c r="J13" s="291"/>
      <c r="K13" s="291"/>
      <c r="L13" s="991">
        <f t="shared" si="0"/>
        <v>0</v>
      </c>
    </row>
    <row r="14" spans="1:15" ht="21" customHeight="1">
      <c r="B14" s="1255"/>
      <c r="C14" s="1156"/>
      <c r="D14" s="1256"/>
      <c r="E14" s="444"/>
      <c r="F14" s="423"/>
      <c r="G14" s="432"/>
      <c r="H14" s="432"/>
      <c r="I14" s="291"/>
      <c r="J14" s="291"/>
      <c r="K14" s="291"/>
      <c r="L14" s="991">
        <f t="shared" si="0"/>
        <v>0</v>
      </c>
      <c r="O14" s="294"/>
    </row>
    <row r="15" spans="1:15" ht="21" customHeight="1">
      <c r="B15" s="1255"/>
      <c r="C15" s="1156"/>
      <c r="D15" s="1256"/>
      <c r="E15" s="444"/>
      <c r="F15" s="423"/>
      <c r="G15" s="445"/>
      <c r="H15" s="432"/>
      <c r="I15" s="446"/>
      <c r="J15" s="291"/>
      <c r="K15" s="291"/>
      <c r="L15" s="991">
        <f t="shared" si="0"/>
        <v>0</v>
      </c>
    </row>
    <row r="16" spans="1:15" ht="21" customHeight="1">
      <c r="A16" s="1195" t="s">
        <v>438</v>
      </c>
      <c r="B16" s="1156"/>
      <c r="C16" s="1156"/>
      <c r="D16" s="1256"/>
      <c r="E16" s="444"/>
      <c r="F16" s="423"/>
      <c r="G16" s="432"/>
      <c r="H16" s="432"/>
      <c r="I16" s="291"/>
      <c r="J16" s="291"/>
      <c r="K16" s="291"/>
      <c r="L16" s="991">
        <f t="shared" si="0"/>
        <v>0</v>
      </c>
    </row>
    <row r="17" spans="1:12" ht="21" customHeight="1">
      <c r="A17" s="1195"/>
      <c r="B17" s="1156"/>
      <c r="C17" s="1156"/>
      <c r="D17" s="1256"/>
      <c r="E17" s="444"/>
      <c r="F17" s="423"/>
      <c r="G17" s="432"/>
      <c r="H17" s="432"/>
      <c r="I17" s="291"/>
      <c r="J17" s="291"/>
      <c r="K17" s="291"/>
      <c r="L17" s="991">
        <f t="shared" si="0"/>
        <v>0</v>
      </c>
    </row>
    <row r="18" spans="1:12" ht="21" customHeight="1">
      <c r="A18" s="1195"/>
      <c r="B18" s="1156"/>
      <c r="C18" s="1156"/>
      <c r="D18" s="1256"/>
      <c r="E18" s="444"/>
      <c r="F18" s="423"/>
      <c r="G18" s="432"/>
      <c r="H18" s="432"/>
      <c r="I18" s="291"/>
      <c r="J18" s="291"/>
      <c r="K18" s="291"/>
      <c r="L18" s="991">
        <f t="shared" si="0"/>
        <v>0</v>
      </c>
    </row>
    <row r="19" spans="1:12" ht="21" customHeight="1">
      <c r="A19" s="265"/>
      <c r="B19" s="613"/>
      <c r="C19" s="613"/>
      <c r="D19" s="616"/>
      <c r="E19" s="444"/>
      <c r="F19" s="423"/>
      <c r="G19" s="432"/>
      <c r="H19" s="432"/>
      <c r="I19" s="291"/>
      <c r="J19" s="291"/>
      <c r="K19" s="291"/>
      <c r="L19" s="991">
        <f t="shared" si="0"/>
        <v>0</v>
      </c>
    </row>
    <row r="20" spans="1:12" ht="21" customHeight="1">
      <c r="A20" s="265"/>
      <c r="B20" s="613"/>
      <c r="C20" s="613"/>
      <c r="D20" s="616"/>
      <c r="E20" s="444"/>
      <c r="F20" s="423"/>
      <c r="G20" s="432"/>
      <c r="H20" s="432"/>
      <c r="I20" s="291"/>
      <c r="J20" s="291"/>
      <c r="K20" s="291"/>
      <c r="L20" s="991">
        <f t="shared" si="0"/>
        <v>0</v>
      </c>
    </row>
    <row r="21" spans="1:12" ht="21" customHeight="1">
      <c r="B21" s="1156"/>
      <c r="C21" s="1156"/>
      <c r="D21" s="1256"/>
      <c r="E21" s="444"/>
      <c r="F21" s="423"/>
      <c r="G21" s="432"/>
      <c r="H21" s="432"/>
      <c r="I21" s="291"/>
      <c r="J21" s="291"/>
      <c r="K21" s="291"/>
      <c r="L21" s="991">
        <f t="shared" si="0"/>
        <v>0</v>
      </c>
    </row>
    <row r="22" spans="1:12" ht="21" customHeight="1">
      <c r="B22" s="613"/>
      <c r="C22" s="613"/>
      <c r="D22" s="616"/>
      <c r="E22" s="444"/>
      <c r="F22" s="423"/>
      <c r="G22" s="432"/>
      <c r="H22" s="432"/>
      <c r="I22" s="291"/>
      <c r="J22" s="291"/>
      <c r="K22" s="291"/>
      <c r="L22" s="991">
        <f t="shared" si="0"/>
        <v>0</v>
      </c>
    </row>
    <row r="23" spans="1:12" ht="21" customHeight="1">
      <c r="B23" s="1156"/>
      <c r="C23" s="1156"/>
      <c r="D23" s="1256"/>
      <c r="E23" s="444"/>
      <c r="F23" s="423"/>
      <c r="G23" s="432"/>
      <c r="H23" s="432"/>
      <c r="I23" s="291"/>
      <c r="J23" s="291"/>
      <c r="K23" s="291"/>
      <c r="L23" s="991">
        <f t="shared" si="0"/>
        <v>0</v>
      </c>
    </row>
    <row r="24" spans="1:12" ht="21" customHeight="1" thickBot="1">
      <c r="F24" s="16" t="s">
        <v>639</v>
      </c>
      <c r="G24" s="724">
        <f t="shared" ref="G24:L24" si="1">SUM(G10:G23)</f>
        <v>0</v>
      </c>
      <c r="H24" s="724">
        <f t="shared" si="1"/>
        <v>0</v>
      </c>
      <c r="I24" s="724">
        <f t="shared" si="1"/>
        <v>0</v>
      </c>
      <c r="J24" s="724">
        <f t="shared" si="1"/>
        <v>0</v>
      </c>
      <c r="K24" s="724">
        <f t="shared" si="1"/>
        <v>0</v>
      </c>
      <c r="L24" s="640">
        <f t="shared" si="1"/>
        <v>0</v>
      </c>
    </row>
    <row r="25" spans="1:12" ht="12.75" customHeight="1" thickTop="1">
      <c r="I25" s="1"/>
      <c r="J25" s="1"/>
    </row>
    <row r="26" spans="1:12">
      <c r="B26" s="239" t="s">
        <v>3524</v>
      </c>
    </row>
    <row r="27" spans="1:12" ht="13.5" customHeight="1">
      <c r="B27" t="s">
        <v>123</v>
      </c>
    </row>
    <row r="28" spans="1:12" ht="13.5" customHeight="1">
      <c r="B28" s="34"/>
      <c r="J28" s="1164"/>
      <c r="K28" s="1164"/>
    </row>
    <row r="29" spans="1:12">
      <c r="J29" s="1257" t="s">
        <v>124</v>
      </c>
      <c r="K29" s="1257"/>
    </row>
    <row r="30" spans="1:12">
      <c r="B30" t="str">
        <f>"* Not less than one-fifth (1/5) of amount authorized but not more than the amount in the column 'Balance "&amp;IF('KEY INPUTS'!C42 = "State Fiscal Year", 'KEY INPUTS'!F47,'KEY INPUTS'!D47)&amp;"' must be entered here and then raised in the "&amp;IF('KEY INPUTS'!C42="State Fiscal Year","Fiscal Year "&amp;'KEY INPUTS'!D33+1&amp;"",'KEY INPUTS'!D34+1)&amp;" budget."</f>
        <v>* Not less than one-fifth (1/5) of amount authorized but not more than the amount in the column 'Balance Dec. 31, 2024' must be entered here and then raised in the 2025 budget.</v>
      </c>
    </row>
    <row r="35" spans="9:12">
      <c r="L35" s="204">
        <f>+I24-J24-L24</f>
        <v>0</v>
      </c>
    </row>
    <row r="36" spans="9:12">
      <c r="I36" s="204"/>
      <c r="J36" s="204"/>
    </row>
  </sheetData>
  <sheetProtection algorithmName="SHA-512" hashValue="FQ994weDxRY5bKLumTzx7XxZ7HIVG8uy90yDh2+nsdbP+vnCRs04KIeINUnd6VrVtbztkUfq7QR5oLqT2x8Arw==" saltValue="2bamCRDBaMKG54j1qvziUw==" spinCount="100000" sheet="1" objects="1" scenarios="1"/>
  <mergeCells count="18">
    <mergeCell ref="J28:K28"/>
    <mergeCell ref="J29:K29"/>
    <mergeCell ref="J7:K7"/>
    <mergeCell ref="B21:D21"/>
    <mergeCell ref="B23:D23"/>
    <mergeCell ref="J6:K6"/>
    <mergeCell ref="A16:A18"/>
    <mergeCell ref="B7:D7"/>
    <mergeCell ref="E7:F7"/>
    <mergeCell ref="B10:D10"/>
    <mergeCell ref="B11:D11"/>
    <mergeCell ref="B12:D12"/>
    <mergeCell ref="B13:D13"/>
    <mergeCell ref="B14:D14"/>
    <mergeCell ref="B15:D15"/>
    <mergeCell ref="B16:D16"/>
    <mergeCell ref="B17:D17"/>
    <mergeCell ref="B18:D18"/>
  </mergeCells>
  <phoneticPr fontId="0" type="noConversion"/>
  <pageMargins left="0.25" right="0.25" top="0.5" bottom="0.5" header="0.25" footer="0.25"/>
  <pageSetup paperSize="5"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28"/>
  <dimension ref="A2:P30"/>
  <sheetViews>
    <sheetView zoomScaleNormal="100" workbookViewId="0">
      <selection activeCell="B31" sqref="B31"/>
    </sheetView>
  </sheetViews>
  <sheetFormatPr defaultRowHeight="13.2"/>
  <cols>
    <col min="1" max="1" width="5.6640625" customWidth="1"/>
    <col min="2" max="4" width="4.88671875" customWidth="1"/>
    <col min="5" max="5" width="46.6640625" customWidth="1"/>
    <col min="6" max="6" width="7.6640625" customWidth="1"/>
    <col min="7" max="8" width="16.6640625" customWidth="1"/>
    <col min="9" max="12" width="15.6640625" customWidth="1"/>
  </cols>
  <sheetData>
    <row r="2" spans="1:16" ht="18">
      <c r="B2" s="113"/>
      <c r="C2" s="113" t="s">
        <v>3523</v>
      </c>
    </row>
    <row r="3" spans="1:16" ht="18">
      <c r="B3" s="113"/>
      <c r="C3" s="113" t="s">
        <v>3522</v>
      </c>
    </row>
    <row r="5" spans="1:16" ht="13.8" thickBot="1"/>
    <row r="6" spans="1:16" ht="16.2" thickTop="1">
      <c r="B6" s="11"/>
      <c r="C6" s="11"/>
      <c r="D6" s="11"/>
      <c r="E6" s="752"/>
      <c r="F6" s="11"/>
      <c r="G6" s="12"/>
      <c r="H6" s="51"/>
      <c r="I6" s="12"/>
      <c r="J6" s="1250" t="s">
        <v>3565</v>
      </c>
      <c r="K6" s="1251"/>
      <c r="L6" s="18"/>
    </row>
    <row r="7" spans="1:16" ht="15.6">
      <c r="B7" s="1174" t="s">
        <v>17</v>
      </c>
      <c r="C7" s="1174"/>
      <c r="D7" s="1174"/>
      <c r="E7" s="1252" t="s">
        <v>413</v>
      </c>
      <c r="F7" s="1214"/>
      <c r="G7" s="13" t="s">
        <v>414</v>
      </c>
      <c r="H7" s="1" t="s">
        <v>442</v>
      </c>
      <c r="I7" s="13" t="s">
        <v>529</v>
      </c>
      <c r="J7" s="1192" t="str">
        <f>'29-Special Emergency'!J7:K7</f>
        <v>2024</v>
      </c>
      <c r="K7" s="1194"/>
      <c r="L7" s="21" t="s">
        <v>529</v>
      </c>
    </row>
    <row r="8" spans="1:16">
      <c r="E8" s="70"/>
      <c r="G8" s="13" t="s">
        <v>441</v>
      </c>
      <c r="H8" s="1" t="s">
        <v>126</v>
      </c>
      <c r="I8" s="245" t="str">
        <f>'29-Special Emergency'!I8</f>
        <v>Dec. 31, 2023</v>
      </c>
      <c r="J8" s="13" t="str">
        <f>'29-Special Emergency'!J8</f>
        <v>By 2024</v>
      </c>
      <c r="K8" s="13" t="s">
        <v>439</v>
      </c>
      <c r="L8" s="244" t="str">
        <f>'29-Special Emergency'!L8</f>
        <v>Dec. 31, 2024</v>
      </c>
    </row>
    <row r="9" spans="1:16" ht="13.8" thickBot="1">
      <c r="B9" s="10"/>
      <c r="C9" s="10"/>
      <c r="D9" s="10"/>
      <c r="E9" s="17"/>
      <c r="F9" s="10"/>
      <c r="G9" s="16"/>
      <c r="H9" s="29" t="s">
        <v>444</v>
      </c>
      <c r="I9" s="14"/>
      <c r="J9" s="16" t="s">
        <v>534</v>
      </c>
      <c r="K9" s="16" t="s">
        <v>440</v>
      </c>
      <c r="L9" s="19"/>
    </row>
    <row r="10" spans="1:16" ht="21" customHeight="1" thickTop="1">
      <c r="B10" s="1253"/>
      <c r="C10" s="1253"/>
      <c r="D10" s="1254"/>
      <c r="E10" s="441"/>
      <c r="F10" s="421"/>
      <c r="G10" s="447"/>
      <c r="H10" s="447"/>
      <c r="I10" s="448"/>
      <c r="J10" s="448"/>
      <c r="K10" s="448"/>
      <c r="L10" s="992">
        <f>+I10-J10-K10</f>
        <v>0</v>
      </c>
    </row>
    <row r="11" spans="1:16" ht="21" customHeight="1">
      <c r="B11" s="1156"/>
      <c r="C11" s="1156"/>
      <c r="D11" s="1256"/>
      <c r="E11" s="444"/>
      <c r="F11" s="423"/>
      <c r="G11" s="449"/>
      <c r="H11" s="449"/>
      <c r="I11" s="450"/>
      <c r="J11" s="450"/>
      <c r="K11" s="450"/>
      <c r="L11" s="451">
        <f>+I11-J11-K11</f>
        <v>0</v>
      </c>
    </row>
    <row r="12" spans="1:16" ht="21" customHeight="1">
      <c r="B12" s="1156"/>
      <c r="C12" s="1156"/>
      <c r="D12" s="1256"/>
      <c r="E12" s="444"/>
      <c r="F12" s="423"/>
      <c r="G12" s="449"/>
      <c r="H12" s="449"/>
      <c r="I12" s="450"/>
      <c r="J12" s="450"/>
      <c r="K12" s="450"/>
      <c r="L12" s="451">
        <f t="shared" ref="L12:L23" si="0">+I12-J12-K12</f>
        <v>0</v>
      </c>
    </row>
    <row r="13" spans="1:16" ht="21" customHeight="1">
      <c r="B13" s="1156"/>
      <c r="C13" s="1156"/>
      <c r="D13" s="1256"/>
      <c r="E13" s="444"/>
      <c r="F13" s="423"/>
      <c r="G13" s="449"/>
      <c r="H13" s="449"/>
      <c r="I13" s="450"/>
      <c r="J13" s="450"/>
      <c r="K13" s="450"/>
      <c r="L13" s="451">
        <f t="shared" si="0"/>
        <v>0</v>
      </c>
    </row>
    <row r="14" spans="1:16" ht="21" customHeight="1">
      <c r="B14" s="1156"/>
      <c r="C14" s="1156"/>
      <c r="D14" s="1256"/>
      <c r="E14" s="444"/>
      <c r="F14" s="423"/>
      <c r="G14" s="449"/>
      <c r="H14" s="449"/>
      <c r="I14" s="450"/>
      <c r="J14" s="450"/>
      <c r="K14" s="450"/>
      <c r="L14" s="451">
        <f t="shared" si="0"/>
        <v>0</v>
      </c>
    </row>
    <row r="15" spans="1:16" ht="21" customHeight="1">
      <c r="B15" s="1156"/>
      <c r="C15" s="1156"/>
      <c r="D15" s="1256"/>
      <c r="E15" s="444"/>
      <c r="F15" s="423"/>
      <c r="G15" s="452"/>
      <c r="H15" s="452"/>
      <c r="I15" s="453"/>
      <c r="J15" s="450"/>
      <c r="K15" s="450"/>
      <c r="L15" s="451">
        <f t="shared" si="0"/>
        <v>0</v>
      </c>
    </row>
    <row r="16" spans="1:16" ht="21" customHeight="1">
      <c r="A16" s="1195" t="s">
        <v>125</v>
      </c>
      <c r="B16" s="1156"/>
      <c r="C16" s="1156"/>
      <c r="D16" s="1256"/>
      <c r="E16" s="444"/>
      <c r="F16" s="423"/>
      <c r="G16" s="449"/>
      <c r="H16" s="449"/>
      <c r="I16" s="450"/>
      <c r="J16" s="450"/>
      <c r="K16" s="450"/>
      <c r="L16" s="451">
        <f t="shared" si="0"/>
        <v>0</v>
      </c>
      <c r="P16" s="294"/>
    </row>
    <row r="17" spans="1:12" ht="21" customHeight="1">
      <c r="A17" s="1195"/>
      <c r="B17" s="1156"/>
      <c r="C17" s="1156"/>
      <c r="D17" s="1256"/>
      <c r="E17" s="444"/>
      <c r="F17" s="423"/>
      <c r="G17" s="449"/>
      <c r="H17" s="449"/>
      <c r="I17" s="450"/>
      <c r="J17" s="450"/>
      <c r="K17" s="450"/>
      <c r="L17" s="451">
        <f t="shared" si="0"/>
        <v>0</v>
      </c>
    </row>
    <row r="18" spans="1:12" ht="21" customHeight="1">
      <c r="A18" s="1195"/>
      <c r="B18" s="613"/>
      <c r="C18" s="613"/>
      <c r="D18" s="616"/>
      <c r="E18" s="444"/>
      <c r="F18" s="423"/>
      <c r="G18" s="449"/>
      <c r="H18" s="449"/>
      <c r="I18" s="450"/>
      <c r="J18" s="450"/>
      <c r="K18" s="450"/>
      <c r="L18" s="451">
        <f t="shared" si="0"/>
        <v>0</v>
      </c>
    </row>
    <row r="19" spans="1:12" ht="21" customHeight="1">
      <c r="A19" s="1195"/>
      <c r="B19" s="613"/>
      <c r="C19" s="613"/>
      <c r="D19" s="616"/>
      <c r="E19" s="444"/>
      <c r="F19" s="423"/>
      <c r="G19" s="449"/>
      <c r="H19" s="449"/>
      <c r="I19" s="450"/>
      <c r="J19" s="450"/>
      <c r="K19" s="450"/>
      <c r="L19" s="451">
        <f t="shared" si="0"/>
        <v>0</v>
      </c>
    </row>
    <row r="20" spans="1:12" ht="21" customHeight="1">
      <c r="A20" s="1195"/>
      <c r="B20" s="613"/>
      <c r="C20" s="613"/>
      <c r="D20" s="616"/>
      <c r="E20" s="444"/>
      <c r="F20" s="423"/>
      <c r="G20" s="449"/>
      <c r="H20" s="449"/>
      <c r="I20" s="450"/>
      <c r="J20" s="450"/>
      <c r="K20" s="450"/>
      <c r="L20" s="451">
        <f t="shared" si="0"/>
        <v>0</v>
      </c>
    </row>
    <row r="21" spans="1:12" ht="21" customHeight="1">
      <c r="A21" s="1195"/>
      <c r="B21" s="1156"/>
      <c r="C21" s="1156"/>
      <c r="D21" s="1256"/>
      <c r="E21" s="444"/>
      <c r="F21" s="423"/>
      <c r="G21" s="449"/>
      <c r="H21" s="449"/>
      <c r="I21" s="450"/>
      <c r="J21" s="450"/>
      <c r="K21" s="450"/>
      <c r="L21" s="451">
        <f t="shared" si="0"/>
        <v>0</v>
      </c>
    </row>
    <row r="22" spans="1:12" ht="21" customHeight="1">
      <c r="B22" s="1156"/>
      <c r="C22" s="1156"/>
      <c r="D22" s="1256"/>
      <c r="E22" s="444"/>
      <c r="F22" s="423"/>
      <c r="G22" s="449"/>
      <c r="H22" s="449"/>
      <c r="I22" s="450"/>
      <c r="J22" s="450"/>
      <c r="K22" s="450"/>
      <c r="L22" s="451">
        <f t="shared" si="0"/>
        <v>0</v>
      </c>
    </row>
    <row r="23" spans="1:12" ht="21" customHeight="1">
      <c r="B23" s="1156"/>
      <c r="C23" s="1156"/>
      <c r="D23" s="1256"/>
      <c r="E23" s="444"/>
      <c r="F23" s="423"/>
      <c r="G23" s="449"/>
      <c r="H23" s="449"/>
      <c r="I23" s="450"/>
      <c r="J23" s="450"/>
      <c r="K23" s="450"/>
      <c r="L23" s="451">
        <f t="shared" si="0"/>
        <v>0</v>
      </c>
    </row>
    <row r="24" spans="1:12" ht="21" customHeight="1" thickBot="1">
      <c r="F24" s="16" t="s">
        <v>639</v>
      </c>
      <c r="G24" s="755">
        <f t="shared" ref="G24:L24" si="1">SUM(G10:G23)</f>
        <v>0</v>
      </c>
      <c r="H24" s="755">
        <f t="shared" si="1"/>
        <v>0</v>
      </c>
      <c r="I24" s="755">
        <f t="shared" si="1"/>
        <v>0</v>
      </c>
      <c r="J24" s="755">
        <f t="shared" si="1"/>
        <v>0</v>
      </c>
      <c r="K24" s="755">
        <f t="shared" si="1"/>
        <v>0</v>
      </c>
      <c r="L24" s="754">
        <f t="shared" si="1"/>
        <v>0</v>
      </c>
    </row>
    <row r="25" spans="1:12" ht="12.75" customHeight="1" thickTop="1">
      <c r="I25" s="1"/>
      <c r="J25" s="1"/>
    </row>
    <row r="26" spans="1:12">
      <c r="B26" s="239" t="s">
        <v>3525</v>
      </c>
    </row>
    <row r="27" spans="1:12" ht="13.5" customHeight="1">
      <c r="B27" s="239" t="s">
        <v>3566</v>
      </c>
    </row>
    <row r="28" spans="1:12" ht="13.5" customHeight="1">
      <c r="B28" s="34"/>
      <c r="J28" s="1164"/>
      <c r="K28" s="1164"/>
    </row>
    <row r="29" spans="1:12">
      <c r="J29" s="1257" t="s">
        <v>124</v>
      </c>
      <c r="K29" s="1257"/>
    </row>
    <row r="30" spans="1:12">
      <c r="B30" t="str">
        <f>"* Not less than one-third (1/3) of amount authorized but not more than the amount in the column 'Balance "&amp;IF('KEY INPUTS'!C42 = "State Fiscal Year", 'KEY INPUTS'!F47,'KEY INPUTS'!D47)&amp;"' must be entered here and then raised in the "&amp;IF('KEY INPUTS'!C42="State Fiscal Year","Fiscal Year "&amp;'KEY INPUTS'!D33+1&amp;"",'KEY INPUTS'!D34+1)&amp;" budget."</f>
        <v>* Not less than one-third (1/3) of amount authorized but not more than the amount in the column 'Balance Dec. 31, 2024' must be entered here and then raised in the 2025 budget.</v>
      </c>
    </row>
  </sheetData>
  <sheetProtection algorithmName="SHA-512" hashValue="1Mr9U5fnil4z6HnMfdyB591hvzlvKwlQPG0ncAhTQ2MlOwLOZVKKoXcowRFC2pQZRSlv59tIK1+zk01L60oxug==" saltValue="nzfa7DM8r3nO7SH/zJVa1w==" spinCount="100000" sheet="1" objects="1" scenarios="1"/>
  <mergeCells count="18">
    <mergeCell ref="J28:K28"/>
    <mergeCell ref="J29:K29"/>
    <mergeCell ref="J7:K7"/>
    <mergeCell ref="B22:D22"/>
    <mergeCell ref="B23:D23"/>
    <mergeCell ref="J6:K6"/>
    <mergeCell ref="A16:A21"/>
    <mergeCell ref="B7:D7"/>
    <mergeCell ref="E7:F7"/>
    <mergeCell ref="B10:D10"/>
    <mergeCell ref="B11:D11"/>
    <mergeCell ref="B12:D12"/>
    <mergeCell ref="B13:D13"/>
    <mergeCell ref="B14:D14"/>
    <mergeCell ref="B15:D15"/>
    <mergeCell ref="B16:D16"/>
    <mergeCell ref="B17:D17"/>
    <mergeCell ref="B21:D21"/>
  </mergeCells>
  <phoneticPr fontId="0" type="noConversion"/>
  <pageMargins left="0.25" right="0.25" top="0.5" bottom="0.5" header="0.25" footer="0.25"/>
  <pageSetup paperSize="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B3:K46"/>
  <sheetViews>
    <sheetView topLeftCell="A5" zoomScaleNormal="100" workbookViewId="0">
      <selection activeCell="G10" sqref="G10"/>
    </sheetView>
  </sheetViews>
  <sheetFormatPr defaultRowHeight="13.2"/>
  <cols>
    <col min="1" max="1" width="4.6640625" customWidth="1"/>
    <col min="2" max="2" width="4.88671875" customWidth="1"/>
    <col min="3" max="4" width="4.6640625" customWidth="1"/>
    <col min="5" max="5" width="30.6640625" customWidth="1"/>
    <col min="6" max="6" width="15.6640625" customWidth="1"/>
    <col min="7" max="8" width="18.6640625" bestFit="1" customWidth="1"/>
  </cols>
  <sheetData>
    <row r="3" spans="2:11" ht="22.8">
      <c r="B3" s="1176" t="s">
        <v>424</v>
      </c>
      <c r="C3" s="1176"/>
      <c r="D3" s="1176"/>
      <c r="E3" s="1176"/>
      <c r="F3" s="1176"/>
      <c r="G3" s="1176"/>
      <c r="H3" s="1176"/>
    </row>
    <row r="4" spans="2:11" ht="22.8">
      <c r="B4" s="1176" t="s">
        <v>102</v>
      </c>
      <c r="C4" s="1176"/>
      <c r="D4" s="1176"/>
      <c r="E4" s="1176"/>
      <c r="F4" s="1176"/>
      <c r="G4" s="1176"/>
      <c r="H4" s="1176"/>
    </row>
    <row r="5" spans="2:11" ht="15.6">
      <c r="B5" s="1132" t="s">
        <v>618</v>
      </c>
      <c r="C5" s="1132"/>
      <c r="D5" s="1132"/>
      <c r="E5" s="1132"/>
      <c r="F5" s="1132"/>
      <c r="G5" s="1132"/>
      <c r="H5" s="1132"/>
    </row>
    <row r="6" spans="2:11" ht="15.6">
      <c r="B6" s="1182" t="str">
        <f>IF('KEY INPUTS'!C42 = "State Fiscal Year", 'KEY INPUTS'!F45,'KEY INPUTS'!D45)</f>
        <v>AS  AT  DECEMBER  31, 2024</v>
      </c>
      <c r="C6" s="1132"/>
      <c r="D6" s="1132"/>
      <c r="E6" s="1132"/>
      <c r="F6" s="1132"/>
      <c r="G6" s="1132"/>
      <c r="H6" s="1132"/>
    </row>
    <row r="7" spans="2:11" ht="13.8" thickBot="1"/>
    <row r="8" spans="2:11" ht="36" customHeight="1" thickTop="1" thickBot="1">
      <c r="B8" s="1179" t="s">
        <v>95</v>
      </c>
      <c r="C8" s="1179"/>
      <c r="D8" s="1179"/>
      <c r="E8" s="1179"/>
      <c r="F8" s="1180"/>
      <c r="G8" s="4" t="s">
        <v>96</v>
      </c>
      <c r="H8" s="3" t="s">
        <v>97</v>
      </c>
    </row>
    <row r="9" spans="2:11" ht="21" customHeight="1" thickTop="1">
      <c r="B9" s="300"/>
      <c r="C9" s="300"/>
      <c r="D9" s="300"/>
      <c r="E9" s="300"/>
      <c r="F9" s="300"/>
      <c r="G9" s="508"/>
      <c r="H9" s="506"/>
    </row>
    <row r="10" spans="2:11" ht="21" customHeight="1">
      <c r="B10" s="417"/>
      <c r="C10" s="417"/>
      <c r="D10" s="417"/>
      <c r="E10" s="417"/>
      <c r="F10" s="417"/>
      <c r="G10" s="291"/>
      <c r="H10" s="429"/>
      <c r="K10" s="294"/>
    </row>
    <row r="11" spans="2:11" ht="21" customHeight="1">
      <c r="B11" s="417"/>
      <c r="C11" s="417"/>
      <c r="D11" s="417"/>
      <c r="E11" s="417"/>
      <c r="F11" s="417"/>
      <c r="G11" s="291"/>
      <c r="H11" s="429"/>
      <c r="I11" s="204"/>
    </row>
    <row r="12" spans="2:11" ht="21" customHeight="1">
      <c r="B12" s="417"/>
      <c r="C12" s="417"/>
      <c r="D12" s="417"/>
      <c r="E12" s="417"/>
      <c r="F12" s="417"/>
      <c r="G12" s="291"/>
      <c r="H12" s="429"/>
    </row>
    <row r="13" spans="2:11" ht="21" customHeight="1">
      <c r="B13" s="417"/>
      <c r="C13" s="417"/>
      <c r="D13" s="417"/>
      <c r="E13" s="417"/>
      <c r="F13" s="417"/>
      <c r="G13" s="291"/>
      <c r="H13" s="429"/>
    </row>
    <row r="14" spans="2:11" ht="21" customHeight="1">
      <c r="B14" s="417"/>
      <c r="C14" s="417"/>
      <c r="D14" s="417"/>
      <c r="E14" s="417"/>
      <c r="F14" s="417"/>
      <c r="G14" s="291"/>
      <c r="H14" s="429"/>
    </row>
    <row r="15" spans="2:11" ht="21" customHeight="1">
      <c r="B15" s="417"/>
      <c r="C15" s="417"/>
      <c r="D15" s="417"/>
      <c r="E15" s="417"/>
      <c r="F15" s="417"/>
      <c r="G15" s="291"/>
      <c r="H15" s="429"/>
    </row>
    <row r="16" spans="2:11" ht="21" customHeight="1">
      <c r="B16" s="417"/>
      <c r="C16" s="417"/>
      <c r="D16" s="417"/>
      <c r="E16" s="417"/>
      <c r="F16" s="417"/>
      <c r="G16" s="291"/>
      <c r="H16" s="429"/>
    </row>
    <row r="17" spans="2:8" ht="21" customHeight="1">
      <c r="B17" s="417"/>
      <c r="C17" s="417"/>
      <c r="D17" s="417"/>
      <c r="E17" s="417"/>
      <c r="F17" s="417"/>
      <c r="G17" s="291"/>
      <c r="H17" s="429"/>
    </row>
    <row r="18" spans="2:8" ht="21" customHeight="1">
      <c r="B18" s="417"/>
      <c r="C18" s="417"/>
      <c r="D18" s="417"/>
      <c r="E18" s="417"/>
      <c r="F18" s="417"/>
      <c r="G18" s="291"/>
      <c r="H18" s="429"/>
    </row>
    <row r="19" spans="2:8" ht="21" customHeight="1">
      <c r="B19" s="417"/>
      <c r="C19" s="417"/>
      <c r="D19" s="417"/>
      <c r="E19" s="417"/>
      <c r="F19" s="417"/>
      <c r="G19" s="291"/>
      <c r="H19" s="429"/>
    </row>
    <row r="20" spans="2:8" ht="21" customHeight="1">
      <c r="B20" s="417"/>
      <c r="C20" s="417"/>
      <c r="D20" s="417"/>
      <c r="E20" s="417"/>
      <c r="F20" s="417"/>
      <c r="G20" s="291"/>
      <c r="H20" s="429"/>
    </row>
    <row r="21" spans="2:8" ht="21" customHeight="1">
      <c r="B21" s="417"/>
      <c r="C21" s="417"/>
      <c r="D21" s="417"/>
      <c r="E21" s="417"/>
      <c r="F21" s="417"/>
      <c r="G21" s="291"/>
      <c r="H21" s="429"/>
    </row>
    <row r="22" spans="2:8" ht="21" customHeight="1">
      <c r="B22" s="417"/>
      <c r="C22" s="417"/>
      <c r="D22" s="417"/>
      <c r="E22" s="417"/>
      <c r="F22" s="417"/>
      <c r="G22" s="291"/>
      <c r="H22" s="429"/>
    </row>
    <row r="23" spans="2:8" ht="21" customHeight="1">
      <c r="B23" s="417"/>
      <c r="C23" s="417"/>
      <c r="D23" s="417"/>
      <c r="E23" s="417"/>
      <c r="F23" s="417"/>
      <c r="G23" s="291"/>
      <c r="H23" s="429"/>
    </row>
    <row r="24" spans="2:8" ht="21" customHeight="1">
      <c r="B24" s="417"/>
      <c r="C24" s="417"/>
      <c r="D24" s="417"/>
      <c r="E24" s="417"/>
      <c r="F24" s="417"/>
      <c r="G24" s="291"/>
      <c r="H24" s="429"/>
    </row>
    <row r="25" spans="2:8" ht="21" customHeight="1">
      <c r="B25" s="417"/>
      <c r="C25" s="417"/>
      <c r="D25" s="417"/>
      <c r="E25" s="417"/>
      <c r="F25" s="417"/>
      <c r="G25" s="291"/>
      <c r="H25" s="429"/>
    </row>
    <row r="26" spans="2:8" ht="21" customHeight="1">
      <c r="B26" s="417"/>
      <c r="C26" s="417"/>
      <c r="D26" s="417"/>
      <c r="E26" s="417"/>
      <c r="F26" s="417"/>
      <c r="G26" s="291"/>
      <c r="H26" s="429"/>
    </row>
    <row r="27" spans="2:8" ht="21" customHeight="1">
      <c r="B27" s="417"/>
      <c r="C27" s="417"/>
      <c r="D27" s="417"/>
      <c r="E27" s="417"/>
      <c r="F27" s="417"/>
      <c r="G27" s="291"/>
      <c r="H27" s="429"/>
    </row>
    <row r="28" spans="2:8" ht="21" customHeight="1">
      <c r="B28" s="417"/>
      <c r="C28" s="417"/>
      <c r="D28" s="417"/>
      <c r="E28" s="417"/>
      <c r="F28" s="417"/>
      <c r="G28" s="291"/>
      <c r="H28" s="429"/>
    </row>
    <row r="29" spans="2:8" ht="21" customHeight="1">
      <c r="B29" s="417"/>
      <c r="C29" s="417"/>
      <c r="D29" s="417"/>
      <c r="E29" s="417"/>
      <c r="F29" s="417"/>
      <c r="G29" s="291"/>
      <c r="H29" s="429"/>
    </row>
    <row r="30" spans="2:8" ht="21" customHeight="1">
      <c r="B30" s="417"/>
      <c r="C30" s="417"/>
      <c r="D30" s="417"/>
      <c r="E30" s="417"/>
      <c r="F30" s="417"/>
      <c r="G30" s="291"/>
      <c r="H30" s="429"/>
    </row>
    <row r="31" spans="2:8" ht="21" customHeight="1">
      <c r="B31" s="417"/>
      <c r="C31" s="417"/>
      <c r="D31" s="417"/>
      <c r="E31" s="417"/>
      <c r="F31" s="417"/>
      <c r="G31" s="291"/>
      <c r="H31" s="429"/>
    </row>
    <row r="32" spans="2:8" ht="21" customHeight="1">
      <c r="B32" s="417"/>
      <c r="C32" s="417"/>
      <c r="D32" s="417"/>
      <c r="E32" s="417"/>
      <c r="F32" s="417"/>
      <c r="G32" s="291"/>
      <c r="H32" s="429"/>
    </row>
    <row r="33" spans="2:8" ht="21" customHeight="1">
      <c r="B33" s="417"/>
      <c r="C33" s="417"/>
      <c r="D33" s="417"/>
      <c r="E33" s="417"/>
      <c r="F33" s="417"/>
      <c r="G33" s="291"/>
      <c r="H33" s="429"/>
    </row>
    <row r="34" spans="2:8" ht="21" customHeight="1">
      <c r="B34" s="417"/>
      <c r="C34" s="417"/>
      <c r="D34" s="417"/>
      <c r="E34" s="417"/>
      <c r="F34" s="417"/>
      <c r="G34" s="291"/>
      <c r="H34" s="429"/>
    </row>
    <row r="35" spans="2:8" ht="21" customHeight="1">
      <c r="B35" s="417"/>
      <c r="C35" s="417"/>
      <c r="D35" s="417"/>
      <c r="E35" s="417"/>
      <c r="F35" s="417"/>
      <c r="G35" s="291"/>
      <c r="H35" s="429"/>
    </row>
    <row r="36" spans="2:8" ht="21" customHeight="1">
      <c r="B36" s="417"/>
      <c r="C36" s="417"/>
      <c r="D36" s="417"/>
      <c r="E36" s="417"/>
      <c r="F36" s="417"/>
      <c r="G36" s="291"/>
      <c r="H36" s="429"/>
    </row>
    <row r="37" spans="2:8" ht="21" customHeight="1">
      <c r="B37" s="417"/>
      <c r="C37" s="417"/>
      <c r="D37" s="417"/>
      <c r="E37" s="417"/>
      <c r="F37" s="417"/>
      <c r="G37" s="291"/>
      <c r="H37" s="429"/>
    </row>
    <row r="38" spans="2:8" ht="21" customHeight="1">
      <c r="B38" s="417"/>
      <c r="C38" s="417"/>
      <c r="D38" s="417"/>
      <c r="E38" s="417"/>
      <c r="F38" s="417"/>
      <c r="G38" s="291"/>
      <c r="H38" s="429"/>
    </row>
    <row r="39" spans="2:8" ht="21" customHeight="1" thickBot="1">
      <c r="B39" s="417"/>
      <c r="C39" s="417"/>
      <c r="D39" s="417"/>
      <c r="E39" s="417"/>
      <c r="F39" s="417"/>
      <c r="G39" s="291"/>
      <c r="H39" s="429"/>
    </row>
    <row r="40" spans="2:8" ht="21" customHeight="1" thickBot="1">
      <c r="B40" s="5"/>
      <c r="C40" s="5"/>
      <c r="D40" s="5" t="s">
        <v>798</v>
      </c>
      <c r="E40" s="5"/>
      <c r="F40" s="5"/>
      <c r="G40" s="216">
        <f>SUM(G9:G39)</f>
        <v>0</v>
      </c>
      <c r="H40" s="217">
        <f>SUM(H9:H39)</f>
        <v>0</v>
      </c>
    </row>
    <row r="41" spans="2:8" ht="13.8" thickTop="1">
      <c r="B41" s="1158" t="s">
        <v>98</v>
      </c>
      <c r="C41" s="1158"/>
      <c r="D41" s="1158"/>
      <c r="E41" s="1158"/>
      <c r="F41" s="1158"/>
      <c r="G41" s="1158"/>
      <c r="H41" s="1158"/>
    </row>
    <row r="42" spans="2:8">
      <c r="B42" s="8" t="s">
        <v>104</v>
      </c>
      <c r="C42" s="9"/>
      <c r="D42" s="1"/>
      <c r="E42" s="1"/>
      <c r="F42" s="1"/>
      <c r="G42" s="1"/>
      <c r="H42" s="1"/>
    </row>
    <row r="43" spans="2:8">
      <c r="B43" s="9"/>
      <c r="C43" s="8" t="s">
        <v>619</v>
      </c>
      <c r="D43" s="1"/>
      <c r="E43" s="1"/>
      <c r="F43" s="1"/>
      <c r="G43" s="1"/>
      <c r="H43" s="1"/>
    </row>
    <row r="44" spans="2:8">
      <c r="B44" s="9"/>
      <c r="C44" s="8"/>
      <c r="D44" s="1"/>
      <c r="E44" s="1"/>
      <c r="F44" s="1"/>
      <c r="G44" s="1"/>
      <c r="H44" s="1"/>
    </row>
    <row r="45" spans="2:8">
      <c r="B45" s="1"/>
      <c r="C45" s="1"/>
      <c r="D45" s="1"/>
      <c r="E45" s="1"/>
      <c r="F45" s="1"/>
      <c r="G45" s="1"/>
      <c r="H45" s="1"/>
    </row>
    <row r="46" spans="2:8" ht="13.8">
      <c r="B46" s="1130" t="s">
        <v>103</v>
      </c>
      <c r="C46" s="1130"/>
      <c r="D46" s="1130"/>
      <c r="E46" s="1130"/>
      <c r="F46" s="1130"/>
      <c r="G46" s="1130"/>
      <c r="H46" s="1130"/>
    </row>
  </sheetData>
  <sheetProtection algorithmName="SHA-512" hashValue="IEd1ERKyWF7z5LimWBm8NuQ5lozI5QgFcfazCTQaFrgjo8IGbQFnT9CHAMvw8X3XiO7G8ON4KJ1X1wXmbr3Piw==" saltValue="jZ8VZPjrl4a0d5LnpJIpOA==" spinCount="100000" sheet="1" objects="1" scenarios="1"/>
  <mergeCells count="7">
    <mergeCell ref="B8:F8"/>
    <mergeCell ref="B41:H41"/>
    <mergeCell ref="B46:H46"/>
    <mergeCell ref="B3:H3"/>
    <mergeCell ref="B4:H4"/>
    <mergeCell ref="B5:H5"/>
    <mergeCell ref="B6:H6"/>
  </mergeCells>
  <phoneticPr fontId="0" type="noConversion"/>
  <pageMargins left="0.25" right="0.25" top="0.5" bottom="0.5" header="0.25" footer="0.25"/>
  <pageSetup paperSize="5"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29"/>
  <dimension ref="B2:Q47"/>
  <sheetViews>
    <sheetView topLeftCell="A12" zoomScaleNormal="100" workbookViewId="0">
      <selection activeCell="Q25" sqref="Q25"/>
    </sheetView>
  </sheetViews>
  <sheetFormatPr defaultRowHeight="13.2"/>
  <cols>
    <col min="1" max="4" width="4.6640625" customWidth="1"/>
    <col min="5" max="5" width="17.88671875" customWidth="1"/>
    <col min="7" max="7" width="16.6640625" customWidth="1"/>
    <col min="8" max="8" width="1.6640625" customWidth="1"/>
    <col min="9" max="9" width="15.6640625" customWidth="1"/>
    <col min="10" max="10" width="1.6640625" customWidth="1"/>
    <col min="11" max="11" width="8.6640625" customWidth="1"/>
    <col min="12" max="12" width="7.6640625" customWidth="1"/>
  </cols>
  <sheetData>
    <row r="2" spans="2:17" ht="20.399999999999999">
      <c r="B2" s="1131" t="s">
        <v>127</v>
      </c>
      <c r="C2" s="1131"/>
      <c r="D2" s="1131"/>
      <c r="E2" s="1131"/>
      <c r="F2" s="1131"/>
      <c r="G2" s="1131"/>
      <c r="H2" s="1131"/>
      <c r="I2" s="1131"/>
      <c r="J2" s="1131"/>
      <c r="K2" s="1131"/>
      <c r="L2" s="1131"/>
    </row>
    <row r="3" spans="2:17" ht="20.399999999999999">
      <c r="B3" s="1131" t="str">
        <f>" AND "&amp;IF('KEY INPUTS'!C42="State Fiscal Year","FISCAL YEAR "&amp;'KEY INPUTS'!D33+1&amp;"",'KEY INPUTS'!D34+1)&amp;" DEBT  SERVICE  FOR  BONDS"</f>
        <v xml:space="preserve"> AND 2025 DEBT  SERVICE  FOR  BONDS</v>
      </c>
      <c r="C3" s="1131"/>
      <c r="D3" s="1131"/>
      <c r="E3" s="1131"/>
      <c r="F3" s="1131"/>
      <c r="G3" s="1131"/>
      <c r="H3" s="1131"/>
      <c r="I3" s="1131"/>
      <c r="J3" s="1131"/>
      <c r="K3" s="1131"/>
      <c r="L3" s="1131"/>
    </row>
    <row r="4" spans="2:17" ht="15.6">
      <c r="B4" s="1132" t="s">
        <v>3473</v>
      </c>
      <c r="C4" s="1132"/>
      <c r="D4" s="1132"/>
      <c r="E4" s="1132"/>
      <c r="F4" s="1132"/>
      <c r="G4" s="1132"/>
      <c r="H4" s="1132"/>
      <c r="I4" s="1132"/>
      <c r="J4" s="1132"/>
      <c r="K4" s="1132"/>
      <c r="L4" s="1132"/>
      <c r="N4" s="239"/>
    </row>
    <row r="5" spans="2:17" ht="9.75" customHeight="1" thickBot="1">
      <c r="B5" s="104"/>
      <c r="C5" s="104"/>
      <c r="D5" s="104"/>
      <c r="E5" s="104"/>
      <c r="F5" s="104"/>
      <c r="G5" s="104"/>
      <c r="H5" s="104"/>
      <c r="I5" s="104"/>
      <c r="J5" s="104"/>
      <c r="K5" s="104"/>
      <c r="L5" s="104"/>
    </row>
    <row r="6" spans="2:17" ht="27.75" customHeight="1" thickTop="1" thickBot="1">
      <c r="B6" s="58"/>
      <c r="C6" s="58"/>
      <c r="D6" s="58"/>
      <c r="E6" s="58"/>
      <c r="F6" s="58"/>
      <c r="G6" s="4" t="s">
        <v>96</v>
      </c>
      <c r="H6" s="1241" t="s">
        <v>97</v>
      </c>
      <c r="I6" s="1180"/>
      <c r="J6" s="1260" t="str">
        <f>IF('KEY INPUTS'!C42="State Fiscal Year","Fiscal Year "&amp;'KEY INPUTS'!D33+1&amp;"",'KEY INPUTS'!D34+1)&amp;"  Debt Service"</f>
        <v>2025  Debt Service</v>
      </c>
      <c r="K6" s="1261"/>
      <c r="L6" s="1262"/>
    </row>
    <row r="7" spans="2:17" ht="21" customHeight="1" thickTop="1">
      <c r="B7" s="22" t="str">
        <f>IF('KEY INPUTS'!C42 = "State Fiscal Year", 'KEY INPUTS'!F27,'KEY INPUTS'!D27)</f>
        <v>Outstanding - January 1, 2024</v>
      </c>
      <c r="C7" s="22"/>
      <c r="D7" s="22"/>
      <c r="E7" s="22"/>
      <c r="F7" s="22"/>
      <c r="G7" s="137" t="s">
        <v>627</v>
      </c>
      <c r="H7" s="1258"/>
      <c r="I7" s="1259"/>
      <c r="J7" s="70"/>
      <c r="L7" s="610"/>
    </row>
    <row r="8" spans="2:17" ht="21" customHeight="1">
      <c r="B8" s="5" t="s">
        <v>92</v>
      </c>
      <c r="C8" s="5"/>
      <c r="D8" s="5"/>
      <c r="E8" s="5"/>
      <c r="F8" s="5"/>
      <c r="G8" s="138" t="s">
        <v>627</v>
      </c>
      <c r="H8" s="1258"/>
      <c r="I8" s="1259"/>
      <c r="J8" s="70"/>
      <c r="L8" s="610"/>
    </row>
    <row r="9" spans="2:17" ht="21" customHeight="1">
      <c r="B9" s="5" t="s">
        <v>254</v>
      </c>
      <c r="C9" s="5"/>
      <c r="D9" s="5"/>
      <c r="E9" s="5"/>
      <c r="F9" s="5"/>
      <c r="G9" s="291"/>
      <c r="H9" s="1266" t="s">
        <v>627</v>
      </c>
      <c r="I9" s="1267"/>
      <c r="J9" s="70"/>
      <c r="L9" s="610"/>
    </row>
    <row r="10" spans="2:17" ht="21" customHeight="1">
      <c r="B10" s="417"/>
      <c r="C10" s="417"/>
      <c r="D10" s="417"/>
      <c r="E10" s="417"/>
      <c r="F10" s="417"/>
      <c r="G10" s="291"/>
      <c r="H10" s="1258"/>
      <c r="I10" s="1259"/>
      <c r="J10" s="70"/>
      <c r="L10" s="610"/>
    </row>
    <row r="11" spans="2:17" ht="21" customHeight="1">
      <c r="B11" s="417"/>
      <c r="C11" s="417"/>
      <c r="D11" s="417"/>
      <c r="E11" s="417"/>
      <c r="F11" s="417"/>
      <c r="G11" s="291"/>
      <c r="H11" s="1258"/>
      <c r="I11" s="1259"/>
      <c r="J11" s="70"/>
      <c r="L11" s="610"/>
    </row>
    <row r="12" spans="2:17" ht="21" customHeight="1" thickBot="1">
      <c r="B12" s="5" t="str">
        <f>IF('KEY INPUTS'!C42 = "State Fiscal Year", 'KEY INPUTS'!F28,'KEY INPUTS'!D28)</f>
        <v>Outstanding - December 31, 2024</v>
      </c>
      <c r="C12" s="5"/>
      <c r="D12" s="5"/>
      <c r="E12" s="5"/>
      <c r="F12" s="5"/>
      <c r="G12" s="72">
        <f>+H7+H8-G9-G10-G11+H10+H11</f>
        <v>0</v>
      </c>
      <c r="H12" s="1270" t="s">
        <v>627</v>
      </c>
      <c r="I12" s="1271"/>
      <c r="J12" s="70"/>
      <c r="L12" s="610"/>
    </row>
    <row r="13" spans="2:17" ht="21" customHeight="1" thickBot="1">
      <c r="G13" s="75">
        <f>SUM(G7:G12)</f>
        <v>0</v>
      </c>
      <c r="H13" s="1272">
        <f>SUM(H7:I12)</f>
        <v>0</v>
      </c>
      <c r="I13" s="1273"/>
      <c r="J13" s="70"/>
      <c r="L13" s="610"/>
    </row>
    <row r="14" spans="2:17" ht="21" customHeight="1" thickTop="1">
      <c r="B14" s="30" t="str">
        <f>IF('KEY INPUTS'!C42="State Fiscal Year","Fiscal Year "&amp;'KEY INPUTS'!D33+1&amp;"",'KEY INPUTS'!D34+1)&amp;" Bond Maturities - General Capital Bonds"</f>
        <v>2025 Bond Maturities - General Capital Bonds</v>
      </c>
      <c r="C14" s="30"/>
      <c r="D14" s="30"/>
      <c r="E14" s="30"/>
      <c r="F14" s="30"/>
      <c r="G14" s="30"/>
      <c r="H14" s="30"/>
      <c r="I14" s="115"/>
      <c r="J14" s="577" t="s">
        <v>373</v>
      </c>
      <c r="K14" s="1263"/>
      <c r="L14" s="1264"/>
    </row>
    <row r="15" spans="2:17" ht="21" customHeight="1" thickBot="1">
      <c r="B15" s="27" t="str">
        <f>IF('KEY INPUTS'!C42="State Fiscal Year","Fiscal Year "&amp;'KEY INPUTS'!D33+1&amp;"",'KEY INPUTS'!D34+1)&amp;" Interest on Bonds*"</f>
        <v>2025 Interest on Bonds*</v>
      </c>
      <c r="C15" s="27"/>
      <c r="D15" s="27"/>
      <c r="E15" s="27"/>
      <c r="F15" s="27"/>
      <c r="G15" s="73"/>
      <c r="H15" s="27" t="s">
        <v>373</v>
      </c>
      <c r="I15" s="756"/>
      <c r="J15" s="70"/>
      <c r="L15" s="610"/>
      <c r="Q15" s="294"/>
    </row>
    <row r="16" spans="2:17" ht="16.5" customHeight="1" thickTop="1">
      <c r="B16" s="1274"/>
      <c r="C16" s="1274"/>
      <c r="D16" s="1274"/>
      <c r="E16" s="1274"/>
      <c r="F16" s="1274"/>
      <c r="G16" s="1274"/>
      <c r="H16" s="1274"/>
      <c r="I16" s="1275"/>
      <c r="J16" s="70"/>
      <c r="L16" s="610"/>
    </row>
    <row r="17" spans="2:12" ht="26.25" customHeight="1" thickBot="1">
      <c r="B17" s="1276" t="s">
        <v>93</v>
      </c>
      <c r="C17" s="1276"/>
      <c r="D17" s="1276"/>
      <c r="E17" s="1276"/>
      <c r="F17" s="1276"/>
      <c r="G17" s="1276"/>
      <c r="H17" s="1276"/>
      <c r="I17" s="1277"/>
      <c r="J17" s="70"/>
      <c r="L17" s="610"/>
    </row>
    <row r="18" spans="2:12" ht="21" customHeight="1" thickTop="1">
      <c r="B18" s="22" t="str">
        <f>B7</f>
        <v>Outstanding - January 1, 2024</v>
      </c>
      <c r="C18" s="22"/>
      <c r="D18" s="22"/>
      <c r="E18" s="22"/>
      <c r="F18" s="22"/>
      <c r="G18" s="137" t="s">
        <v>627</v>
      </c>
      <c r="H18" s="1258"/>
      <c r="I18" s="1259"/>
      <c r="J18" s="70"/>
      <c r="L18" s="610"/>
    </row>
    <row r="19" spans="2:12" ht="21" customHeight="1">
      <c r="B19" s="5" t="s">
        <v>92</v>
      </c>
      <c r="C19" s="5"/>
      <c r="D19" s="5"/>
      <c r="E19" s="5"/>
      <c r="F19" s="5"/>
      <c r="G19" s="138" t="s">
        <v>627</v>
      </c>
      <c r="H19" s="1258"/>
      <c r="I19" s="1259"/>
      <c r="J19" s="70"/>
      <c r="L19" s="610"/>
    </row>
    <row r="20" spans="2:12" ht="21" customHeight="1">
      <c r="B20" s="5" t="s">
        <v>254</v>
      </c>
      <c r="C20" s="5"/>
      <c r="D20" s="5"/>
      <c r="E20" s="5"/>
      <c r="F20" s="5"/>
      <c r="G20" s="291"/>
      <c r="H20" s="1266" t="s">
        <v>627</v>
      </c>
      <c r="I20" s="1267"/>
      <c r="J20" s="70"/>
      <c r="L20" s="610"/>
    </row>
    <row r="21" spans="2:12" ht="21" customHeight="1">
      <c r="B21" s="417"/>
      <c r="C21" s="417"/>
      <c r="D21" s="417"/>
      <c r="E21" s="417"/>
      <c r="F21" s="417"/>
      <c r="G21" s="291"/>
      <c r="H21" s="1258"/>
      <c r="I21" s="1259"/>
      <c r="J21" s="70"/>
      <c r="L21" s="610"/>
    </row>
    <row r="22" spans="2:12" ht="21" customHeight="1">
      <c r="B22" s="417"/>
      <c r="C22" s="417"/>
      <c r="D22" s="417"/>
      <c r="E22" s="417"/>
      <c r="F22" s="417"/>
      <c r="G22" s="291"/>
      <c r="H22" s="1258"/>
      <c r="I22" s="1259"/>
      <c r="J22" s="70"/>
      <c r="L22" s="610"/>
    </row>
    <row r="23" spans="2:12" ht="21" customHeight="1" thickBot="1">
      <c r="B23" s="5" t="str">
        <f>B12</f>
        <v>Outstanding - December 31, 2024</v>
      </c>
      <c r="C23" s="5"/>
      <c r="D23" s="5"/>
      <c r="E23" s="5"/>
      <c r="F23" s="5"/>
      <c r="G23" s="72">
        <f>+H18+H19-G20-G21-G22+H21+H22</f>
        <v>0</v>
      </c>
      <c r="H23" s="1270" t="s">
        <v>627</v>
      </c>
      <c r="I23" s="1271"/>
      <c r="J23" s="70"/>
      <c r="L23" s="610"/>
    </row>
    <row r="24" spans="2:12" ht="21" customHeight="1" thickBot="1">
      <c r="G24" s="75">
        <f>SUM(G18:G23)</f>
        <v>0</v>
      </c>
      <c r="H24" s="1272">
        <f>SUM(H18:I23)</f>
        <v>0</v>
      </c>
      <c r="I24" s="1273"/>
      <c r="J24" s="70"/>
      <c r="L24" s="610"/>
    </row>
    <row r="25" spans="2:12" ht="21" customHeight="1" thickTop="1">
      <c r="B25" s="30" t="str">
        <f>IF('KEY INPUTS'!C42="State Fiscal Year","Fiscal Year "&amp;'KEY INPUTS'!D33+1&amp;"",'KEY INPUTS'!D34+1)&amp;" Bond Maturities - Assessment Bonds"</f>
        <v>2025 Bond Maturities - Assessment Bonds</v>
      </c>
      <c r="C25" s="30"/>
      <c r="D25" s="30"/>
      <c r="E25" s="30"/>
      <c r="F25" s="30"/>
      <c r="G25" s="30"/>
      <c r="H25" s="30"/>
      <c r="I25" s="115"/>
      <c r="J25" s="577" t="s">
        <v>373</v>
      </c>
      <c r="K25" s="1263"/>
      <c r="L25" s="1264"/>
    </row>
    <row r="26" spans="2:12" ht="21" customHeight="1" thickBot="1">
      <c r="B26" s="27" t="str">
        <f>B15</f>
        <v>2025 Interest on Bonds*</v>
      </c>
      <c r="C26" s="27"/>
      <c r="D26" s="27"/>
      <c r="E26" s="27"/>
      <c r="F26" s="27"/>
      <c r="G26" s="73"/>
      <c r="H26" s="27" t="s">
        <v>373</v>
      </c>
      <c r="I26" s="756"/>
      <c r="J26" s="70"/>
      <c r="L26" s="610"/>
    </row>
    <row r="27" spans="2:12" ht="21" customHeight="1" thickTop="1" thickBot="1">
      <c r="B27" s="10" t="s">
        <v>552</v>
      </c>
      <c r="C27" s="10"/>
      <c r="D27" s="10"/>
      <c r="E27" s="10"/>
      <c r="F27" s="10"/>
      <c r="G27" s="10"/>
      <c r="H27" s="10"/>
      <c r="I27" s="132"/>
      <c r="J27" s="17" t="s">
        <v>373</v>
      </c>
      <c r="K27" s="1268">
        <f>+I26+I15</f>
        <v>0</v>
      </c>
      <c r="L27" s="1269"/>
    </row>
    <row r="28" spans="2:12" ht="21" customHeight="1" thickTop="1"/>
    <row r="29" spans="2:12" ht="21" customHeight="1" thickBot="1">
      <c r="B29" s="1278" t="str">
        <f>"LIST  OF  BONDS  ISSUED  DURING  "&amp;IF('KEY INPUTS'!C42="State Fiscal Year","FISCAL  YEAR  "&amp;'KEY INPUTS'!D33&amp;"",'KEY INPUTS'!D34)&amp;""</f>
        <v>LIST  OF  BONDS  ISSUED  DURING  2024</v>
      </c>
      <c r="C29" s="1278"/>
      <c r="D29" s="1278"/>
      <c r="E29" s="1278"/>
      <c r="F29" s="1278"/>
      <c r="G29" s="1278"/>
      <c r="H29" s="1278"/>
      <c r="I29" s="1278"/>
      <c r="J29" s="1278"/>
      <c r="K29" s="1278"/>
      <c r="L29" s="1278"/>
    </row>
    <row r="30" spans="2:12" ht="27" customHeight="1" thickTop="1" thickBot="1">
      <c r="B30" s="1179" t="s">
        <v>413</v>
      </c>
      <c r="C30" s="1179"/>
      <c r="D30" s="1179"/>
      <c r="E30" s="1179"/>
      <c r="F30" s="1179"/>
      <c r="G30" s="4" t="str">
        <f>IF('KEY INPUTS'!C42="State Fiscal Year","FY "&amp;'KEY INPUTS'!D33+1&amp;"",'KEY INPUTS'!D34+1)&amp;" Maturity"</f>
        <v>2025 Maturity</v>
      </c>
      <c r="H30" s="1241" t="s">
        <v>91</v>
      </c>
      <c r="I30" s="1180"/>
      <c r="J30" s="1260" t="s">
        <v>89</v>
      </c>
      <c r="K30" s="1284"/>
      <c r="L30" s="611" t="s">
        <v>90</v>
      </c>
    </row>
    <row r="31" spans="2:12" ht="21" customHeight="1" thickTop="1">
      <c r="B31" s="420"/>
      <c r="C31" s="420"/>
      <c r="D31" s="420"/>
      <c r="E31" s="420"/>
      <c r="F31" s="420"/>
      <c r="G31" s="422"/>
      <c r="H31" s="1282"/>
      <c r="I31" s="1283"/>
      <c r="J31" s="1281"/>
      <c r="K31" s="1254"/>
      <c r="L31" s="689"/>
    </row>
    <row r="32" spans="2:12" ht="21" customHeight="1">
      <c r="B32" s="417"/>
      <c r="C32" s="417"/>
      <c r="D32" s="417"/>
      <c r="E32" s="417"/>
      <c r="F32" s="417"/>
      <c r="G32" s="291"/>
      <c r="H32" s="1258"/>
      <c r="I32" s="1259"/>
      <c r="J32" s="1265"/>
      <c r="K32" s="1256"/>
      <c r="L32" s="690"/>
    </row>
    <row r="33" spans="2:12" ht="21" customHeight="1">
      <c r="B33" s="417"/>
      <c r="C33" s="417"/>
      <c r="D33" s="417"/>
      <c r="E33" s="417"/>
      <c r="F33" s="417"/>
      <c r="G33" s="291"/>
      <c r="H33" s="1258"/>
      <c r="I33" s="1259"/>
      <c r="J33" s="1265"/>
      <c r="K33" s="1256"/>
      <c r="L33" s="690"/>
    </row>
    <row r="34" spans="2:12" ht="21" customHeight="1">
      <c r="B34" s="417"/>
      <c r="C34" s="417"/>
      <c r="D34" s="417"/>
      <c r="E34" s="417"/>
      <c r="F34" s="417"/>
      <c r="G34" s="291"/>
      <c r="H34" s="1258"/>
      <c r="I34" s="1259"/>
      <c r="J34" s="1265"/>
      <c r="K34" s="1256"/>
      <c r="L34" s="690"/>
    </row>
    <row r="35" spans="2:12" ht="21" customHeight="1">
      <c r="B35" s="417"/>
      <c r="C35" s="417"/>
      <c r="D35" s="417"/>
      <c r="E35" s="417"/>
      <c r="F35" s="417"/>
      <c r="G35" s="291"/>
      <c r="H35" s="1258"/>
      <c r="I35" s="1259"/>
      <c r="J35" s="1265"/>
      <c r="K35" s="1256"/>
      <c r="L35" s="690"/>
    </row>
    <row r="36" spans="2:12" ht="21" customHeight="1">
      <c r="B36" s="417"/>
      <c r="C36" s="417"/>
      <c r="D36" s="417"/>
      <c r="E36" s="417"/>
      <c r="F36" s="417"/>
      <c r="G36" s="291"/>
      <c r="H36" s="1258"/>
      <c r="I36" s="1259"/>
      <c r="J36" s="1265"/>
      <c r="K36" s="1256"/>
      <c r="L36" s="690"/>
    </row>
    <row r="37" spans="2:12" ht="21" customHeight="1">
      <c r="B37" s="417"/>
      <c r="C37" s="417"/>
      <c r="D37" s="417"/>
      <c r="E37" s="417"/>
      <c r="F37" s="417"/>
      <c r="G37" s="291"/>
      <c r="H37" s="1258"/>
      <c r="I37" s="1259"/>
      <c r="J37" s="1265"/>
      <c r="K37" s="1256"/>
      <c r="L37" s="690"/>
    </row>
    <row r="38" spans="2:12" ht="21" customHeight="1">
      <c r="B38" s="417"/>
      <c r="C38" s="417"/>
      <c r="D38" s="417"/>
      <c r="E38" s="417"/>
      <c r="F38" s="417"/>
      <c r="G38" s="291"/>
      <c r="H38" s="1258"/>
      <c r="I38" s="1259"/>
      <c r="J38" s="1265"/>
      <c r="K38" s="1256"/>
      <c r="L38" s="690"/>
    </row>
    <row r="39" spans="2:12" ht="21" customHeight="1" thickBot="1">
      <c r="B39" s="27"/>
      <c r="C39" s="27"/>
      <c r="D39" s="27"/>
      <c r="E39" s="27"/>
      <c r="F39" s="41" t="s">
        <v>201</v>
      </c>
      <c r="G39" s="75">
        <f>SUM(G31:G38)</f>
        <v>0</v>
      </c>
      <c r="H39" s="1279">
        <f>SUM(H31:I38)</f>
        <v>0</v>
      </c>
      <c r="I39" s="1280"/>
      <c r="J39" s="40"/>
      <c r="K39" s="27"/>
      <c r="L39" s="19"/>
    </row>
    <row r="40" spans="2:12" ht="13.8" thickTop="1">
      <c r="G40" s="54"/>
      <c r="H40" s="54"/>
      <c r="I40" s="54"/>
    </row>
    <row r="47" spans="2:12" ht="13.8">
      <c r="B47" s="1130" t="s">
        <v>553</v>
      </c>
      <c r="C47" s="1130"/>
      <c r="D47" s="1130"/>
      <c r="E47" s="1130"/>
      <c r="F47" s="1130"/>
      <c r="G47" s="1130"/>
      <c r="H47" s="1130"/>
      <c r="I47" s="1130"/>
      <c r="J47" s="1130"/>
      <c r="K47" s="1130"/>
      <c r="L47" s="1130"/>
    </row>
  </sheetData>
  <sheetProtection algorithmName="SHA-512" hashValue="kijKtSLH0oSmd4CFe81VrVP+es4xbzn+oenRtDqn6wrYeizGhQ032LKL5RcCKl0QgcWCq417eOAdg9FZfMwZPw==" saltValue="aA9azWga0mSATD4FLeBiIQ==" spinCount="100000" sheet="1" objects="1" scenarios="1"/>
  <mergeCells count="46">
    <mergeCell ref="J37:K37"/>
    <mergeCell ref="H32:I32"/>
    <mergeCell ref="B30:F30"/>
    <mergeCell ref="H30:I30"/>
    <mergeCell ref="H21:I21"/>
    <mergeCell ref="B47:L47"/>
    <mergeCell ref="B29:L29"/>
    <mergeCell ref="H39:I39"/>
    <mergeCell ref="H33:I33"/>
    <mergeCell ref="J31:K31"/>
    <mergeCell ref="H34:I34"/>
    <mergeCell ref="H35:I35"/>
    <mergeCell ref="H36:I36"/>
    <mergeCell ref="H31:I31"/>
    <mergeCell ref="H37:I37"/>
    <mergeCell ref="H38:I38"/>
    <mergeCell ref="J38:K38"/>
    <mergeCell ref="J32:K32"/>
    <mergeCell ref="J36:K36"/>
    <mergeCell ref="J30:K30"/>
    <mergeCell ref="J33:K33"/>
    <mergeCell ref="H9:I9"/>
    <mergeCell ref="H12:I12"/>
    <mergeCell ref="B16:I16"/>
    <mergeCell ref="H13:I13"/>
    <mergeCell ref="B17:I17"/>
    <mergeCell ref="K14:L14"/>
    <mergeCell ref="J35:K35"/>
    <mergeCell ref="H20:I20"/>
    <mergeCell ref="H10:I10"/>
    <mergeCell ref="H11:I11"/>
    <mergeCell ref="K25:L25"/>
    <mergeCell ref="K27:L27"/>
    <mergeCell ref="J34:K34"/>
    <mergeCell ref="H18:I18"/>
    <mergeCell ref="H19:I19"/>
    <mergeCell ref="H23:I23"/>
    <mergeCell ref="H22:I22"/>
    <mergeCell ref="H24:I24"/>
    <mergeCell ref="H8:I8"/>
    <mergeCell ref="B2:L2"/>
    <mergeCell ref="B3:L3"/>
    <mergeCell ref="B4:L4"/>
    <mergeCell ref="J6:L6"/>
    <mergeCell ref="H6:I6"/>
    <mergeCell ref="H7:I7"/>
  </mergeCells>
  <phoneticPr fontId="0" type="noConversion"/>
  <pageMargins left="0.25" right="0.25" top="0.5" bottom="0.5" header="0.25" footer="0.25"/>
  <pageSetup paperSize="5"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0"/>
  <dimension ref="B2:R47"/>
  <sheetViews>
    <sheetView zoomScaleNormal="100" workbookViewId="0">
      <selection activeCell="O20" sqref="O20"/>
    </sheetView>
  </sheetViews>
  <sheetFormatPr defaultRowHeight="13.2"/>
  <cols>
    <col min="1" max="4" width="4.6640625" customWidth="1"/>
    <col min="5" max="5" width="17.88671875" customWidth="1"/>
    <col min="7" max="7" width="16.6640625" customWidth="1"/>
    <col min="8" max="8" width="1.6640625" customWidth="1"/>
    <col min="9" max="9" width="15.6640625" customWidth="1"/>
    <col min="10" max="10" width="1.6640625" customWidth="1"/>
    <col min="11" max="11" width="8.6640625" customWidth="1"/>
    <col min="12" max="12" width="7.6640625" customWidth="1"/>
    <col min="17" max="17" width="11.109375" bestFit="1" customWidth="1"/>
    <col min="18" max="18" width="16.5546875" customWidth="1"/>
  </cols>
  <sheetData>
    <row r="2" spans="2:18" ht="20.399999999999999">
      <c r="B2" s="1131" t="s">
        <v>480</v>
      </c>
      <c r="C2" s="1131"/>
      <c r="D2" s="1131"/>
      <c r="E2" s="1131"/>
      <c r="F2" s="1131"/>
      <c r="G2" s="1131"/>
      <c r="H2" s="1131"/>
      <c r="I2" s="1131"/>
      <c r="J2" s="1131"/>
      <c r="K2" s="1131"/>
      <c r="L2" s="1131"/>
    </row>
    <row r="3" spans="2:18" ht="21" thickBot="1">
      <c r="B3" s="1131" t="str">
        <f>" AND "&amp;IF('KEY INPUTS'!C42="State Fiscal Year","FISCAL  YEAR  "&amp;'KEY INPUTS'!D33+1&amp;"",'KEY INPUTS'!D34+1)&amp;"  DEBT  SERVICE  FOR  LOANS"</f>
        <v xml:space="preserve"> AND 2025  DEBT  SERVICE  FOR  LOANS</v>
      </c>
      <c r="C3" s="1131"/>
      <c r="D3" s="1131"/>
      <c r="E3" s="1131"/>
      <c r="F3" s="1131"/>
      <c r="G3" s="1131"/>
      <c r="H3" s="1131"/>
      <c r="I3" s="1131"/>
      <c r="J3" s="1131"/>
      <c r="K3" s="1131"/>
      <c r="L3" s="1131"/>
    </row>
    <row r="4" spans="2:18" ht="16.2" thickBot="1">
      <c r="B4" s="1132" t="str">
        <f>IF(R4&lt;&gt;"",(UPPER(R4)),"")&amp;" LOAN"</f>
        <v xml:space="preserve"> LOAN</v>
      </c>
      <c r="C4" s="1132"/>
      <c r="D4" s="1132"/>
      <c r="E4" s="1132"/>
      <c r="F4" s="1132"/>
      <c r="G4" s="1132"/>
      <c r="H4" s="1132"/>
      <c r="I4" s="1132"/>
      <c r="J4" s="1132"/>
      <c r="K4" s="1132"/>
      <c r="L4" s="1132"/>
      <c r="Q4" s="1056" t="s">
        <v>3576</v>
      </c>
      <c r="R4" s="1057"/>
    </row>
    <row r="5" spans="2:18" ht="9.75" customHeight="1" thickBot="1">
      <c r="B5" s="104"/>
      <c r="C5" s="104"/>
      <c r="D5" s="104"/>
      <c r="E5" s="104"/>
      <c r="F5" s="104"/>
      <c r="G5" s="104"/>
      <c r="H5" s="104"/>
      <c r="I5" s="104"/>
      <c r="J5" s="104"/>
      <c r="K5" s="104"/>
      <c r="L5" s="104"/>
    </row>
    <row r="6" spans="2:18" ht="27.75" customHeight="1" thickTop="1" thickBot="1">
      <c r="B6" s="58"/>
      <c r="C6" s="58"/>
      <c r="D6" s="58"/>
      <c r="E6" s="58"/>
      <c r="F6" s="58"/>
      <c r="G6" s="4" t="s">
        <v>96</v>
      </c>
      <c r="H6" s="1241" t="s">
        <v>97</v>
      </c>
      <c r="I6" s="1180"/>
      <c r="J6" s="1260" t="str">
        <f>'31-Capital Bond Schedule'!J6:L6</f>
        <v>2025  Debt Service</v>
      </c>
      <c r="K6" s="1261"/>
      <c r="L6" s="1262"/>
    </row>
    <row r="7" spans="2:18" ht="21" customHeight="1" thickTop="1">
      <c r="B7" s="22" t="str">
        <f>'31-Capital Bond Schedule'!B7</f>
        <v>Outstanding - January 1, 2024</v>
      </c>
      <c r="C7" s="22"/>
      <c r="D7" s="22"/>
      <c r="E7" s="22"/>
      <c r="F7" s="22"/>
      <c r="G7" s="757" t="s">
        <v>627</v>
      </c>
      <c r="H7" s="1296"/>
      <c r="I7" s="1297"/>
      <c r="J7" s="70"/>
      <c r="L7" s="610"/>
    </row>
    <row r="8" spans="2:18" ht="21" customHeight="1">
      <c r="B8" s="5" t="s">
        <v>92</v>
      </c>
      <c r="C8" s="5"/>
      <c r="D8" s="5"/>
      <c r="E8" s="5"/>
      <c r="F8" s="5"/>
      <c r="G8" s="702" t="s">
        <v>627</v>
      </c>
      <c r="H8" s="1258"/>
      <c r="I8" s="1259"/>
      <c r="J8" s="70"/>
      <c r="L8" s="610"/>
    </row>
    <row r="9" spans="2:18" ht="21" customHeight="1">
      <c r="B9" s="5" t="s">
        <v>254</v>
      </c>
      <c r="C9" s="5"/>
      <c r="D9" s="5"/>
      <c r="E9" s="5"/>
      <c r="F9" s="5"/>
      <c r="G9" s="291"/>
      <c r="H9" s="1298" t="s">
        <v>627</v>
      </c>
      <c r="I9" s="1299"/>
      <c r="J9" s="70"/>
      <c r="L9" s="610"/>
    </row>
    <row r="10" spans="2:18" ht="21" customHeight="1">
      <c r="B10" s="5" t="s">
        <v>149</v>
      </c>
      <c r="C10" s="5"/>
      <c r="D10" s="5"/>
      <c r="E10" s="5"/>
      <c r="F10" s="5"/>
      <c r="G10" s="291"/>
      <c r="H10" s="1258"/>
      <c r="I10" s="1259"/>
      <c r="J10" s="70"/>
      <c r="L10" s="610"/>
    </row>
    <row r="11" spans="2:18" ht="21" customHeight="1">
      <c r="B11" s="1187"/>
      <c r="C11" s="1187"/>
      <c r="D11" s="1187"/>
      <c r="E11" s="1187"/>
      <c r="F11" s="1188"/>
      <c r="G11" s="450"/>
      <c r="H11" s="1291"/>
      <c r="I11" s="1292"/>
      <c r="J11" s="70"/>
      <c r="L11" s="610"/>
    </row>
    <row r="12" spans="2:18" ht="21" customHeight="1" thickBot="1">
      <c r="B12" s="5" t="str">
        <f>'31-Capital Bond Schedule'!B12</f>
        <v>Outstanding - December 31, 2024</v>
      </c>
      <c r="C12" s="5"/>
      <c r="D12" s="5"/>
      <c r="E12" s="5"/>
      <c r="F12" s="5"/>
      <c r="G12" s="758">
        <f>+H7+H8-G9-G10-G11+H10+H11</f>
        <v>0</v>
      </c>
      <c r="H12" s="1300" t="s">
        <v>627</v>
      </c>
      <c r="I12" s="1301"/>
      <c r="J12" s="70"/>
      <c r="L12" s="610"/>
    </row>
    <row r="13" spans="2:18" ht="21" customHeight="1" thickBot="1">
      <c r="G13" s="755">
        <f>SUM(G7:G12)</f>
        <v>0</v>
      </c>
      <c r="H13" s="1304">
        <f>SUM(H7:I12)</f>
        <v>0</v>
      </c>
      <c r="I13" s="1305"/>
      <c r="J13" s="70"/>
      <c r="L13" s="610"/>
    </row>
    <row r="14" spans="2:18" ht="21" customHeight="1" thickTop="1">
      <c r="B14" s="30" t="str">
        <f>IF('KEY INPUTS'!C42="State Fiscal Year","Fiscal Year "&amp;'KEY INPUTS'!D33+1&amp;"",'KEY INPUTS'!D34+1)&amp;" Loan Maturities"</f>
        <v>2025 Loan Maturities</v>
      </c>
      <c r="C14" s="30"/>
      <c r="D14" s="30"/>
      <c r="E14" s="30"/>
      <c r="F14" s="30"/>
      <c r="G14" s="30"/>
      <c r="H14" s="30"/>
      <c r="I14" s="115"/>
      <c r="J14" s="577" t="s">
        <v>373</v>
      </c>
      <c r="K14" s="1263"/>
      <c r="L14" s="1264"/>
      <c r="P14" s="294"/>
    </row>
    <row r="15" spans="2:18" ht="21" customHeight="1">
      <c r="B15" s="5" t="str">
        <f>IF('KEY INPUTS'!C42="State Fiscal Year","Fiscal Year "&amp;'KEY INPUTS'!D33+1&amp;"",'KEY INPUTS'!D34+1)&amp;" Interest on Loans "</f>
        <v xml:space="preserve">2025 Interest on Loans </v>
      </c>
      <c r="C15" s="5"/>
      <c r="D15" s="5"/>
      <c r="E15" s="5"/>
      <c r="F15" s="5"/>
      <c r="G15" s="46"/>
      <c r="H15" s="5"/>
      <c r="I15" s="97"/>
      <c r="J15" s="577" t="s">
        <v>373</v>
      </c>
      <c r="K15" s="1263"/>
      <c r="L15" s="1264"/>
    </row>
    <row r="16" spans="2:18" ht="16.5" customHeight="1" thickBot="1">
      <c r="B16" s="10" t="str">
        <f>"Total "&amp;IF('KEY INPUTS'!C42="State Fiscal Year","Fiscal Year "&amp;'KEY INPUTS'!D33+1&amp;"",'KEY INPUTS'!D34+1)&amp;" Debt Service for "&amp;IF(R4&lt;&gt;"",R4,"")&amp;" Loan"</f>
        <v>Total 2025 Debt Service for  Loan</v>
      </c>
      <c r="C16" s="944"/>
      <c r="D16" s="944"/>
      <c r="E16" s="944"/>
      <c r="F16" s="945"/>
      <c r="G16" s="945"/>
      <c r="H16" s="10"/>
      <c r="I16" s="219"/>
      <c r="J16" s="40" t="s">
        <v>373</v>
      </c>
      <c r="K16" s="1302">
        <f>+K14+K15</f>
        <v>0</v>
      </c>
      <c r="L16" s="1303"/>
    </row>
    <row r="17" spans="2:18" ht="16.8" thickTop="1" thickBot="1">
      <c r="B17" s="1276" t="str">
        <f>IF(R17&lt;&gt;"",(UPPER(R17)),"")&amp;" LOAN"</f>
        <v xml:space="preserve"> LOAN</v>
      </c>
      <c r="C17" s="1276"/>
      <c r="D17" s="1276"/>
      <c r="E17" s="1276"/>
      <c r="F17" s="1276"/>
      <c r="G17" s="1276"/>
      <c r="H17" s="1276"/>
      <c r="I17" s="1277"/>
      <c r="J17" s="70"/>
      <c r="L17" s="610"/>
      <c r="Q17" s="1056" t="s">
        <v>3576</v>
      </c>
      <c r="R17" s="1057"/>
    </row>
    <row r="18" spans="2:18" ht="21" customHeight="1" thickTop="1">
      <c r="B18" s="22" t="str">
        <f>B7</f>
        <v>Outstanding - January 1, 2024</v>
      </c>
      <c r="C18" s="22"/>
      <c r="D18" s="22"/>
      <c r="E18" s="22"/>
      <c r="F18" s="22"/>
      <c r="G18" s="757" t="s">
        <v>627</v>
      </c>
      <c r="H18" s="1258"/>
      <c r="I18" s="1259"/>
      <c r="J18" s="70"/>
      <c r="L18" s="610"/>
    </row>
    <row r="19" spans="2:18" ht="21" customHeight="1">
      <c r="B19" s="5" t="s">
        <v>92</v>
      </c>
      <c r="C19" s="5"/>
      <c r="D19" s="5"/>
      <c r="E19" s="5"/>
      <c r="F19" s="5"/>
      <c r="G19" s="702" t="s">
        <v>627</v>
      </c>
      <c r="H19" s="1258"/>
      <c r="I19" s="1259"/>
      <c r="J19" s="70"/>
      <c r="L19" s="610"/>
    </row>
    <row r="20" spans="2:18" ht="21" customHeight="1">
      <c r="B20" s="5" t="s">
        <v>254</v>
      </c>
      <c r="C20" s="5"/>
      <c r="D20" s="5"/>
      <c r="E20" s="5"/>
      <c r="F20" s="5"/>
      <c r="G20" s="291"/>
      <c r="H20" s="1306" t="s">
        <v>627</v>
      </c>
      <c r="I20" s="1307"/>
      <c r="J20" s="70"/>
      <c r="L20" s="610"/>
    </row>
    <row r="21" spans="2:18" ht="21" customHeight="1">
      <c r="B21" s="1285"/>
      <c r="C21" s="1285"/>
      <c r="D21" s="1285"/>
      <c r="E21" s="1285"/>
      <c r="F21" s="1286"/>
      <c r="G21" s="450"/>
      <c r="H21" s="1291"/>
      <c r="I21" s="1292"/>
      <c r="J21" s="70"/>
      <c r="L21" s="610"/>
    </row>
    <row r="22" spans="2:18" ht="21" customHeight="1">
      <c r="B22" s="1285"/>
      <c r="C22" s="1285"/>
      <c r="D22" s="1285"/>
      <c r="E22" s="1285"/>
      <c r="F22" s="1286"/>
      <c r="G22" s="450"/>
      <c r="H22" s="1291"/>
      <c r="I22" s="1292"/>
      <c r="J22" s="70"/>
      <c r="L22" s="610"/>
    </row>
    <row r="23" spans="2:18" ht="21" customHeight="1" thickBot="1">
      <c r="B23" s="5" t="str">
        <f>B12</f>
        <v>Outstanding - December 31, 2024</v>
      </c>
      <c r="C23" s="5"/>
      <c r="D23" s="5"/>
      <c r="E23" s="5"/>
      <c r="F23" s="5"/>
      <c r="G23" s="758">
        <f>+H18+H19-G20-G21-G22+H21+H22</f>
        <v>0</v>
      </c>
      <c r="H23" s="1300" t="s">
        <v>627</v>
      </c>
      <c r="I23" s="1301"/>
      <c r="J23" s="70"/>
      <c r="L23" s="610"/>
    </row>
    <row r="24" spans="2:18" ht="21" customHeight="1" thickBot="1">
      <c r="G24" s="755">
        <f>SUM(G18:G23)</f>
        <v>0</v>
      </c>
      <c r="H24" s="1304">
        <f>SUM(H18:I23)</f>
        <v>0</v>
      </c>
      <c r="I24" s="1305"/>
      <c r="J24" s="70"/>
      <c r="L24" s="610"/>
    </row>
    <row r="25" spans="2:18" ht="21" customHeight="1" thickTop="1">
      <c r="B25" s="30" t="str">
        <f>B14</f>
        <v>2025 Loan Maturities</v>
      </c>
      <c r="C25" s="30"/>
      <c r="D25" s="30"/>
      <c r="E25" s="30"/>
      <c r="F25" s="30"/>
      <c r="G25" s="30"/>
      <c r="H25" s="30"/>
      <c r="I25" s="115"/>
      <c r="J25" s="577" t="s">
        <v>373</v>
      </c>
      <c r="K25" s="1263"/>
      <c r="L25" s="1264"/>
    </row>
    <row r="26" spans="2:18" ht="21" customHeight="1">
      <c r="B26" s="5" t="str">
        <f>B15</f>
        <v xml:space="preserve">2025 Interest on Loans </v>
      </c>
      <c r="C26" s="5"/>
      <c r="D26" s="5"/>
      <c r="E26" s="5"/>
      <c r="F26" s="5"/>
      <c r="G26" s="46"/>
      <c r="H26" s="5"/>
      <c r="I26" s="97"/>
      <c r="J26" s="577" t="s">
        <v>373</v>
      </c>
      <c r="K26" s="1263"/>
      <c r="L26" s="1264"/>
    </row>
    <row r="27" spans="2:18" ht="21" customHeight="1" thickBot="1">
      <c r="B27" s="27" t="str">
        <f>"Total "&amp;IF('KEY INPUTS'!C42="State Fiscal Year","Fiscal Year "&amp;'KEY INPUTS'!D33+1&amp;"",'KEY INPUTS'!D34+1)&amp;" Debt Service for "&amp;IF(R17&lt;&gt;"",R17,"")&amp;" Loan"</f>
        <v>Total 2025 Debt Service for  Loan</v>
      </c>
      <c r="C27" s="946"/>
      <c r="D27" s="946"/>
      <c r="E27" s="946"/>
      <c r="F27" s="27"/>
      <c r="G27" s="1048"/>
      <c r="H27" s="10"/>
      <c r="I27" s="219"/>
      <c r="J27" s="17" t="s">
        <v>373</v>
      </c>
      <c r="K27" s="1287">
        <f>+K25+K26</f>
        <v>0</v>
      </c>
      <c r="L27" s="1288"/>
    </row>
    <row r="28" spans="2:18" ht="21" customHeight="1" thickTop="1"/>
    <row r="29" spans="2:18" ht="21" customHeight="1" thickBot="1">
      <c r="B29" s="1278" t="str">
        <f>"LIST  OF  LOANS  ISSUED  DURING  "&amp;IF('KEY INPUTS'!C42="State Fiscal Year","FISCAL  YEAR  "&amp;'KEY INPUTS'!D33&amp;"",'KEY INPUTS'!D34)</f>
        <v>LIST  OF  LOANS  ISSUED  DURING  2024</v>
      </c>
      <c r="C29" s="1278"/>
      <c r="D29" s="1278"/>
      <c r="E29" s="1278"/>
      <c r="F29" s="1278"/>
      <c r="G29" s="1278"/>
      <c r="H29" s="1278"/>
      <c r="I29" s="1278"/>
      <c r="J29" s="1278"/>
      <c r="K29" s="1278"/>
      <c r="L29" s="1278"/>
    </row>
    <row r="30" spans="2:18" ht="27" customHeight="1" thickTop="1" thickBot="1">
      <c r="B30" s="1179" t="s">
        <v>413</v>
      </c>
      <c r="C30" s="1179"/>
      <c r="D30" s="1179"/>
      <c r="E30" s="1179"/>
      <c r="F30" s="1179"/>
      <c r="G30" s="4" t="str">
        <f>'31-Capital Bond Schedule'!G30</f>
        <v>2025 Maturity</v>
      </c>
      <c r="H30" s="1241" t="s">
        <v>91</v>
      </c>
      <c r="I30" s="1180"/>
      <c r="J30" s="1260" t="s">
        <v>89</v>
      </c>
      <c r="K30" s="1284"/>
      <c r="L30" s="611" t="s">
        <v>90</v>
      </c>
    </row>
    <row r="31" spans="2:18" ht="21" customHeight="1" thickTop="1">
      <c r="B31" s="420"/>
      <c r="C31" s="420"/>
      <c r="D31" s="420"/>
      <c r="E31" s="420"/>
      <c r="F31" s="420"/>
      <c r="G31" s="454"/>
      <c r="H31" s="1293"/>
      <c r="I31" s="1294"/>
      <c r="J31" s="1295"/>
      <c r="K31" s="1254"/>
      <c r="L31" s="691"/>
    </row>
    <row r="32" spans="2:18" ht="21" customHeight="1">
      <c r="B32" s="417"/>
      <c r="C32" s="417"/>
      <c r="D32" s="417"/>
      <c r="E32" s="417"/>
      <c r="F32" s="417"/>
      <c r="G32" s="450"/>
      <c r="H32" s="1291"/>
      <c r="I32" s="1292"/>
      <c r="J32" s="1265"/>
      <c r="K32" s="1256"/>
      <c r="L32" s="692"/>
    </row>
    <row r="33" spans="2:12" ht="21" customHeight="1">
      <c r="B33" s="417"/>
      <c r="C33" s="417"/>
      <c r="D33" s="417"/>
      <c r="E33" s="417"/>
      <c r="F33" s="417"/>
      <c r="G33" s="450"/>
      <c r="H33" s="1291"/>
      <c r="I33" s="1292"/>
      <c r="J33" s="1265"/>
      <c r="K33" s="1256"/>
      <c r="L33" s="692"/>
    </row>
    <row r="34" spans="2:12" ht="21" customHeight="1">
      <c r="B34" s="417"/>
      <c r="C34" s="417"/>
      <c r="D34" s="417"/>
      <c r="E34" s="417"/>
      <c r="F34" s="417"/>
      <c r="G34" s="450"/>
      <c r="H34" s="1291"/>
      <c r="I34" s="1292"/>
      <c r="J34" s="1265"/>
      <c r="K34" s="1256"/>
      <c r="L34" s="692"/>
    </row>
    <row r="35" spans="2:12" ht="21" customHeight="1">
      <c r="B35" s="417"/>
      <c r="C35" s="417"/>
      <c r="D35" s="417"/>
      <c r="E35" s="417"/>
      <c r="F35" s="417"/>
      <c r="G35" s="450"/>
      <c r="H35" s="1291"/>
      <c r="I35" s="1292"/>
      <c r="J35" s="1265"/>
      <c r="K35" s="1256"/>
      <c r="L35" s="692"/>
    </row>
    <row r="36" spans="2:12" ht="21" customHeight="1">
      <c r="B36" s="417"/>
      <c r="C36" s="417"/>
      <c r="D36" s="417"/>
      <c r="E36" s="417"/>
      <c r="F36" s="417"/>
      <c r="G36" s="450"/>
      <c r="H36" s="1291"/>
      <c r="I36" s="1292"/>
      <c r="J36" s="1265"/>
      <c r="K36" s="1256"/>
      <c r="L36" s="692"/>
    </row>
    <row r="37" spans="2:12" ht="21" customHeight="1">
      <c r="B37" s="417"/>
      <c r="C37" s="417"/>
      <c r="D37" s="417"/>
      <c r="E37" s="417"/>
      <c r="F37" s="417"/>
      <c r="G37" s="450"/>
      <c r="H37" s="1291"/>
      <c r="I37" s="1292"/>
      <c r="J37" s="1265"/>
      <c r="K37" s="1256"/>
      <c r="L37" s="692"/>
    </row>
    <row r="38" spans="2:12" ht="21" customHeight="1">
      <c r="B38" s="417"/>
      <c r="C38" s="417"/>
      <c r="D38" s="417"/>
      <c r="E38" s="417"/>
      <c r="F38" s="417"/>
      <c r="G38" s="450"/>
      <c r="H38" s="1291"/>
      <c r="I38" s="1292"/>
      <c r="J38" s="1265"/>
      <c r="K38" s="1256"/>
      <c r="L38" s="692"/>
    </row>
    <row r="39" spans="2:12" ht="21" customHeight="1" thickBot="1">
      <c r="B39" s="27"/>
      <c r="C39" s="27"/>
      <c r="D39" s="27"/>
      <c r="E39" s="27"/>
      <c r="F39" s="41" t="s">
        <v>201</v>
      </c>
      <c r="G39" s="755">
        <f>SUM(G31:G38)</f>
        <v>0</v>
      </c>
      <c r="H39" s="1289">
        <f>SUM(H31:I38)</f>
        <v>0</v>
      </c>
      <c r="I39" s="1290"/>
      <c r="J39" s="40"/>
      <c r="K39" s="27"/>
      <c r="L39" s="19"/>
    </row>
    <row r="40" spans="2:12" ht="13.8" thickTop="1">
      <c r="G40" s="54"/>
      <c r="H40" s="54"/>
      <c r="I40" s="54"/>
    </row>
    <row r="47" spans="2:12" ht="13.8">
      <c r="B47" s="1130" t="s">
        <v>150</v>
      </c>
      <c r="C47" s="1130"/>
      <c r="D47" s="1130"/>
      <c r="E47" s="1130"/>
      <c r="F47" s="1130"/>
      <c r="G47" s="1130"/>
      <c r="H47" s="1130"/>
      <c r="I47" s="1130"/>
      <c r="J47" s="1130"/>
      <c r="K47" s="1130"/>
      <c r="L47" s="1130"/>
    </row>
  </sheetData>
  <sheetProtection algorithmName="SHA-512" hashValue="XCkgNthw+LPD1GEQDJuelug6+dWcdrFs9kG1Qs24Ga/+WJTpAQthOn+b3yXnlavhgc5keXEYBMiWtZ+yptLbgw==" saltValue="p5fAB0I1/sOTSGyY2L6HXw==" spinCount="100000" sheet="1" objects="1" scenarios="1"/>
  <mergeCells count="51">
    <mergeCell ref="K25:L25"/>
    <mergeCell ref="H12:I12"/>
    <mergeCell ref="H18:I18"/>
    <mergeCell ref="J36:K36"/>
    <mergeCell ref="B30:F30"/>
    <mergeCell ref="H22:I22"/>
    <mergeCell ref="K26:L26"/>
    <mergeCell ref="K15:L15"/>
    <mergeCell ref="K16:L16"/>
    <mergeCell ref="H13:I13"/>
    <mergeCell ref="H23:I23"/>
    <mergeCell ref="H19:I19"/>
    <mergeCell ref="K14:L14"/>
    <mergeCell ref="H24:I24"/>
    <mergeCell ref="H21:I21"/>
    <mergeCell ref="H20:I20"/>
    <mergeCell ref="B17:I17"/>
    <mergeCell ref="B2:L2"/>
    <mergeCell ref="B3:L3"/>
    <mergeCell ref="B4:L4"/>
    <mergeCell ref="J6:L6"/>
    <mergeCell ref="H6:I6"/>
    <mergeCell ref="H7:I7"/>
    <mergeCell ref="H8:I8"/>
    <mergeCell ref="H10:I10"/>
    <mergeCell ref="H11:I11"/>
    <mergeCell ref="H9:I9"/>
    <mergeCell ref="B11:F11"/>
    <mergeCell ref="J31:K31"/>
    <mergeCell ref="J30:K30"/>
    <mergeCell ref="H35:I35"/>
    <mergeCell ref="H38:I38"/>
    <mergeCell ref="H36:I36"/>
    <mergeCell ref="H37:I37"/>
    <mergeCell ref="H30:I30"/>
    <mergeCell ref="B21:F21"/>
    <mergeCell ref="B22:F22"/>
    <mergeCell ref="K27:L27"/>
    <mergeCell ref="B47:L47"/>
    <mergeCell ref="J38:K38"/>
    <mergeCell ref="J35:K35"/>
    <mergeCell ref="B29:L29"/>
    <mergeCell ref="H39:I39"/>
    <mergeCell ref="H33:I33"/>
    <mergeCell ref="H34:I34"/>
    <mergeCell ref="J37:K37"/>
    <mergeCell ref="H31:I31"/>
    <mergeCell ref="H32:I32"/>
    <mergeCell ref="J32:K32"/>
    <mergeCell ref="J33:K33"/>
    <mergeCell ref="J34:K34"/>
  </mergeCells>
  <phoneticPr fontId="0" type="noConversion"/>
  <pageMargins left="0.25" right="0.25" top="0.5" bottom="0.5" header="0.25" footer="0.25"/>
  <pageSetup paperSize="5"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35FB7-DC96-4024-9CF3-DC6E11E11E98}">
  <sheetPr codeName="Sheet131"/>
  <dimension ref="B2:R47"/>
  <sheetViews>
    <sheetView workbookViewId="0">
      <selection activeCell="V18" sqref="V18"/>
    </sheetView>
  </sheetViews>
  <sheetFormatPr defaultColWidth="9.109375" defaultRowHeight="13.2"/>
  <cols>
    <col min="1" max="4" width="4.6640625" customWidth="1"/>
    <col min="5" max="5" width="17.88671875" customWidth="1"/>
    <col min="7" max="7" width="16.6640625" customWidth="1"/>
    <col min="8" max="8" width="1.6640625" customWidth="1"/>
    <col min="9" max="9" width="15.6640625" customWidth="1"/>
    <col min="10" max="10" width="1.6640625" customWidth="1"/>
    <col min="11" max="11" width="8.6640625" customWidth="1"/>
    <col min="12" max="12" width="7.6640625" customWidth="1"/>
    <col min="17" max="17" width="11.109375" bestFit="1" customWidth="1"/>
    <col min="18" max="18" width="15.109375" customWidth="1"/>
  </cols>
  <sheetData>
    <row r="2" spans="2:18" ht="20.399999999999999">
      <c r="B2" s="1131" t="s">
        <v>480</v>
      </c>
      <c r="C2" s="1131"/>
      <c r="D2" s="1131"/>
      <c r="E2" s="1131"/>
      <c r="F2" s="1131"/>
      <c r="G2" s="1131"/>
      <c r="H2" s="1131"/>
      <c r="I2" s="1131"/>
      <c r="J2" s="1131"/>
      <c r="K2" s="1131"/>
      <c r="L2" s="1131"/>
    </row>
    <row r="3" spans="2:18" ht="21" thickBot="1">
      <c r="B3" s="1131" t="str">
        <f>" AND "&amp;IF('KEY INPUTS'!C42="State Fiscal Year","FISCAL  YEAR  "&amp;'KEY INPUTS'!D33+1&amp;"",'KEY INPUTS'!D34+1)&amp;"  DEBT  SERVICE  FOR  LOANS"</f>
        <v xml:space="preserve"> AND 2025  DEBT  SERVICE  FOR  LOANS</v>
      </c>
      <c r="C3" s="1131"/>
      <c r="D3" s="1131"/>
      <c r="E3" s="1131"/>
      <c r="F3" s="1131"/>
      <c r="G3" s="1131"/>
      <c r="H3" s="1131"/>
      <c r="I3" s="1131"/>
      <c r="J3" s="1131"/>
      <c r="K3" s="1131"/>
      <c r="L3" s="1131"/>
    </row>
    <row r="4" spans="2:18" ht="16.2" thickBot="1">
      <c r="B4" s="1132" t="str">
        <f>IF(R4&lt;&gt;"",(UPPER(R4)),"")&amp;" LOAN"</f>
        <v xml:space="preserve"> LOAN</v>
      </c>
      <c r="C4" s="1132"/>
      <c r="D4" s="1132"/>
      <c r="E4" s="1132"/>
      <c r="F4" s="1132"/>
      <c r="G4" s="1132"/>
      <c r="H4" s="1132"/>
      <c r="I4" s="1132"/>
      <c r="J4" s="1132"/>
      <c r="K4" s="1132"/>
      <c r="L4" s="1132"/>
      <c r="Q4" s="1056" t="s">
        <v>3576</v>
      </c>
      <c r="R4" s="1057"/>
    </row>
    <row r="5" spans="2:18" ht="9.75" customHeight="1" thickBot="1">
      <c r="B5" s="104"/>
      <c r="C5" s="104"/>
      <c r="D5" s="104"/>
      <c r="E5" s="104"/>
      <c r="F5" s="104"/>
      <c r="G5" s="104"/>
      <c r="H5" s="104"/>
      <c r="I5" s="104"/>
      <c r="J5" s="104"/>
      <c r="K5" s="104"/>
      <c r="L5" s="104"/>
    </row>
    <row r="6" spans="2:18" ht="27.75" customHeight="1" thickTop="1" thickBot="1">
      <c r="B6" s="58"/>
      <c r="C6" s="58"/>
      <c r="D6" s="58"/>
      <c r="E6" s="58"/>
      <c r="F6" s="58"/>
      <c r="G6" s="4" t="s">
        <v>96</v>
      </c>
      <c r="H6" s="1241" t="s">
        <v>97</v>
      </c>
      <c r="I6" s="1180"/>
      <c r="J6" s="1260" t="str">
        <f>'31-Capital Bond Schedule'!J6:L6</f>
        <v>2025  Debt Service</v>
      </c>
      <c r="K6" s="1261"/>
      <c r="L6" s="1262"/>
    </row>
    <row r="7" spans="2:18" ht="21" customHeight="1" thickTop="1" thickBot="1">
      <c r="B7" s="22" t="str">
        <f>'31-Capital Bond Schedule'!B7</f>
        <v>Outstanding - January 1, 2024</v>
      </c>
      <c r="C7" s="22"/>
      <c r="D7" s="22"/>
      <c r="E7" s="22"/>
      <c r="F7" s="22"/>
      <c r="G7" s="757" t="s">
        <v>627</v>
      </c>
      <c r="H7" s="1282"/>
      <c r="I7" s="1283"/>
      <c r="J7" s="70"/>
      <c r="L7" s="610"/>
    </row>
    <row r="8" spans="2:18" ht="21" customHeight="1" thickTop="1">
      <c r="B8" s="5" t="s">
        <v>92</v>
      </c>
      <c r="C8" s="5"/>
      <c r="D8" s="5"/>
      <c r="E8" s="5"/>
      <c r="F8" s="5"/>
      <c r="G8" s="702" t="s">
        <v>627</v>
      </c>
      <c r="H8" s="1282"/>
      <c r="I8" s="1283"/>
      <c r="J8" s="70"/>
      <c r="L8" s="610"/>
    </row>
    <row r="9" spans="2:18" ht="21" customHeight="1" thickBot="1">
      <c r="B9" s="5" t="s">
        <v>254</v>
      </c>
      <c r="C9" s="5"/>
      <c r="D9" s="5"/>
      <c r="E9" s="5"/>
      <c r="F9" s="5"/>
      <c r="G9" s="291"/>
      <c r="H9" s="1306" t="s">
        <v>627</v>
      </c>
      <c r="I9" s="1307"/>
      <c r="J9" s="70"/>
      <c r="L9" s="610"/>
    </row>
    <row r="10" spans="2:18" ht="21" customHeight="1" thickTop="1">
      <c r="B10" s="5" t="s">
        <v>149</v>
      </c>
      <c r="C10" s="5"/>
      <c r="D10" s="5"/>
      <c r="E10" s="5"/>
      <c r="F10" s="5"/>
      <c r="G10" s="291"/>
      <c r="H10" s="1282"/>
      <c r="I10" s="1283"/>
      <c r="J10" s="70"/>
      <c r="L10" s="610"/>
    </row>
    <row r="11" spans="2:18" ht="21" customHeight="1">
      <c r="B11" s="417"/>
      <c r="C11" s="417"/>
      <c r="D11" s="417"/>
      <c r="E11" s="417"/>
      <c r="F11" s="417"/>
      <c r="G11" s="450"/>
      <c r="H11" s="1291"/>
      <c r="I11" s="1292"/>
      <c r="J11" s="70"/>
      <c r="L11" s="610"/>
    </row>
    <row r="12" spans="2:18" ht="21" customHeight="1" thickBot="1">
      <c r="B12" s="5" t="str">
        <f>'31-Capital Bond Schedule'!B12</f>
        <v>Outstanding - December 31, 2024</v>
      </c>
      <c r="C12" s="5"/>
      <c r="D12" s="5"/>
      <c r="E12" s="5"/>
      <c r="F12" s="5"/>
      <c r="G12" s="758">
        <f>+H7+H8-G9-G10-G11+H10+H11</f>
        <v>0</v>
      </c>
      <c r="H12" s="1300" t="s">
        <v>627</v>
      </c>
      <c r="I12" s="1301"/>
      <c r="J12" s="70"/>
      <c r="L12" s="610"/>
    </row>
    <row r="13" spans="2:18" ht="21" customHeight="1" thickBot="1">
      <c r="G13" s="755">
        <f>SUM(G7:G12)</f>
        <v>0</v>
      </c>
      <c r="H13" s="1304">
        <f>SUM(H7:I12)</f>
        <v>0</v>
      </c>
      <c r="I13" s="1305"/>
      <c r="J13" s="70"/>
      <c r="L13" s="610"/>
    </row>
    <row r="14" spans="2:18" ht="21" customHeight="1" thickTop="1">
      <c r="B14" s="30" t="str">
        <f>'31A-Loan Schedule'!B14</f>
        <v>2025 Loan Maturities</v>
      </c>
      <c r="C14" s="30"/>
      <c r="D14" s="30"/>
      <c r="E14" s="30"/>
      <c r="F14" s="30"/>
      <c r="G14" s="30"/>
      <c r="H14" s="30"/>
      <c r="I14" s="115"/>
      <c r="J14" s="577" t="s">
        <v>373</v>
      </c>
      <c r="K14" s="1263"/>
      <c r="L14" s="1264"/>
      <c r="P14" s="294"/>
    </row>
    <row r="15" spans="2:18" ht="21" customHeight="1">
      <c r="B15" s="5" t="str">
        <f>'31A-Loan Schedule'!B15</f>
        <v xml:space="preserve">2025 Interest on Loans </v>
      </c>
      <c r="C15" s="5"/>
      <c r="D15" s="5"/>
      <c r="E15" s="5"/>
      <c r="F15" s="5"/>
      <c r="G15" s="46"/>
      <c r="H15" s="5"/>
      <c r="I15" s="97"/>
      <c r="J15" s="577" t="s">
        <v>373</v>
      </c>
      <c r="K15" s="1263"/>
      <c r="L15" s="1264"/>
    </row>
    <row r="16" spans="2:18" ht="16.5" customHeight="1" thickBot="1">
      <c r="B16" s="10" t="str">
        <f>"Total "&amp;IF('KEY INPUTS'!C42="State Fiscal Year","Fiscal Year "&amp;'KEY INPUTS'!D33+1&amp;"",'KEY INPUTS'!D34+1)&amp;" Debt Service for "&amp;IF(R4&lt;&gt;"",R4,"")&amp;" Loan"</f>
        <v>Total 2025 Debt Service for  Loan</v>
      </c>
      <c r="C16" s="10"/>
      <c r="D16" s="10"/>
      <c r="E16" s="10"/>
      <c r="F16" s="10"/>
      <c r="G16" s="945"/>
      <c r="H16" s="10"/>
      <c r="I16" s="219"/>
      <c r="J16" s="40" t="s">
        <v>373</v>
      </c>
      <c r="K16" s="1302">
        <f>+K14+K15</f>
        <v>0</v>
      </c>
      <c r="L16" s="1303"/>
    </row>
    <row r="17" spans="2:18" ht="16.8" thickTop="1" thickBot="1">
      <c r="B17" s="1276" t="str">
        <f>IF(R17&lt;&gt;"",(UPPER(R17)),"")&amp;" LOAN"</f>
        <v xml:space="preserve"> LOAN</v>
      </c>
      <c r="C17" s="1276"/>
      <c r="D17" s="1276"/>
      <c r="E17" s="1276"/>
      <c r="F17" s="1276"/>
      <c r="G17" s="1276"/>
      <c r="H17" s="1276"/>
      <c r="I17" s="1277"/>
      <c r="L17" s="178"/>
      <c r="Q17" s="1056" t="s">
        <v>3576</v>
      </c>
      <c r="R17" s="1057"/>
    </row>
    <row r="18" spans="2:18" ht="21" customHeight="1" thickTop="1">
      <c r="B18" s="22" t="str">
        <f>B7</f>
        <v>Outstanding - January 1, 2024</v>
      </c>
      <c r="C18" s="22"/>
      <c r="D18" s="22"/>
      <c r="E18" s="22"/>
      <c r="F18" s="22"/>
      <c r="G18" s="757" t="s">
        <v>627</v>
      </c>
      <c r="H18" s="1258"/>
      <c r="I18" s="1259"/>
      <c r="L18" s="610"/>
    </row>
    <row r="19" spans="2:18" ht="21" customHeight="1">
      <c r="B19" s="5" t="s">
        <v>92</v>
      </c>
      <c r="C19" s="5"/>
      <c r="D19" s="5"/>
      <c r="E19" s="5"/>
      <c r="F19" s="5"/>
      <c r="G19" s="702" t="s">
        <v>627</v>
      </c>
      <c r="H19" s="1258"/>
      <c r="I19" s="1259"/>
      <c r="L19" s="610"/>
    </row>
    <row r="20" spans="2:18" ht="21" customHeight="1">
      <c r="B20" s="5" t="s">
        <v>254</v>
      </c>
      <c r="C20" s="5"/>
      <c r="D20" s="5"/>
      <c r="E20" s="5"/>
      <c r="F20" s="5"/>
      <c r="G20" s="291"/>
      <c r="H20" s="1306" t="s">
        <v>627</v>
      </c>
      <c r="I20" s="1307"/>
      <c r="L20" s="610"/>
    </row>
    <row r="21" spans="2:18" ht="21" customHeight="1">
      <c r="B21" s="417"/>
      <c r="C21" s="417"/>
      <c r="D21" s="417"/>
      <c r="E21" s="417"/>
      <c r="F21" s="417"/>
      <c r="G21" s="450"/>
      <c r="H21" s="1308"/>
      <c r="I21" s="1309"/>
      <c r="L21" s="610"/>
    </row>
    <row r="22" spans="2:18" ht="21" customHeight="1">
      <c r="B22" s="417"/>
      <c r="C22" s="417"/>
      <c r="D22" s="417"/>
      <c r="E22" s="417"/>
      <c r="F22" s="417"/>
      <c r="G22" s="450"/>
      <c r="H22" s="1308"/>
      <c r="I22" s="1309"/>
      <c r="L22" s="610"/>
    </row>
    <row r="23" spans="2:18" ht="21" customHeight="1" thickBot="1">
      <c r="B23" s="5" t="str">
        <f>B12</f>
        <v>Outstanding - December 31, 2024</v>
      </c>
      <c r="C23" s="5"/>
      <c r="D23" s="5"/>
      <c r="E23" s="5"/>
      <c r="F23" s="5"/>
      <c r="G23" s="758">
        <f>+H18+H19-G20-G21-G22+H21+H22</f>
        <v>0</v>
      </c>
      <c r="H23" s="1300" t="s">
        <v>627</v>
      </c>
      <c r="I23" s="1301"/>
      <c r="L23" s="610"/>
    </row>
    <row r="24" spans="2:18" ht="21" customHeight="1" thickBot="1">
      <c r="G24" s="755">
        <f>SUM(G18:G23)</f>
        <v>0</v>
      </c>
      <c r="H24" s="1304">
        <f>SUM(H18:I23)</f>
        <v>0</v>
      </c>
      <c r="I24" s="1305"/>
      <c r="L24" s="610"/>
    </row>
    <row r="25" spans="2:18" ht="21" customHeight="1" thickTop="1">
      <c r="B25" s="30" t="str">
        <f>B14</f>
        <v>2025 Loan Maturities</v>
      </c>
      <c r="C25" s="30"/>
      <c r="D25" s="30"/>
      <c r="E25" s="30"/>
      <c r="F25" s="30"/>
      <c r="G25" s="30"/>
      <c r="H25" s="30"/>
      <c r="I25" s="115"/>
      <c r="J25" s="30" t="s">
        <v>373</v>
      </c>
      <c r="K25" s="1263"/>
      <c r="L25" s="1264"/>
    </row>
    <row r="26" spans="2:18" ht="21" customHeight="1">
      <c r="B26" s="5" t="str">
        <f>B15</f>
        <v xml:space="preserve">2025 Interest on Loans </v>
      </c>
      <c r="C26" s="5"/>
      <c r="D26" s="5"/>
      <c r="E26" s="5"/>
      <c r="F26" s="5"/>
      <c r="G26" s="46"/>
      <c r="H26" s="5"/>
      <c r="I26" s="97"/>
      <c r="J26" s="30" t="s">
        <v>373</v>
      </c>
      <c r="K26" s="1263"/>
      <c r="L26" s="1264"/>
    </row>
    <row r="27" spans="2:18" ht="21" customHeight="1" thickBot="1">
      <c r="B27" s="27" t="str">
        <f>"Total "&amp;IF('KEY INPUTS'!C42="State Fiscal Year","Fiscal Year "&amp;'KEY INPUTS'!D33+1&amp;"",'KEY INPUTS'!D34+1)&amp;" Debt Service for "&amp;IF(R17&lt;&gt;"",R17,"")&amp;" Loan"</f>
        <v>Total 2025 Debt Service for  Loan</v>
      </c>
      <c r="C27" s="27"/>
      <c r="D27" s="27"/>
      <c r="E27" s="27"/>
      <c r="F27" s="27"/>
      <c r="G27" s="264"/>
      <c r="H27" s="10"/>
      <c r="I27" s="219"/>
      <c r="J27" s="10" t="s">
        <v>373</v>
      </c>
      <c r="K27" s="1287">
        <f>+K25+K26</f>
        <v>0</v>
      </c>
      <c r="L27" s="1288"/>
    </row>
    <row r="28" spans="2:18" ht="21" customHeight="1" thickTop="1"/>
    <row r="29" spans="2:18" ht="21" customHeight="1" thickBot="1">
      <c r="B29" s="1278" t="str">
        <f>"LIST  OF  LOANS  ISSUED  DURING  "&amp;IF('KEY INPUTS'!C42="State Fiscal Year","FISCAL  YEAR  "&amp;'KEY INPUTS'!D33&amp;"",'KEY INPUTS'!D34)</f>
        <v>LIST  OF  LOANS  ISSUED  DURING  2024</v>
      </c>
      <c r="C29" s="1278"/>
      <c r="D29" s="1278"/>
      <c r="E29" s="1278"/>
      <c r="F29" s="1278"/>
      <c r="G29" s="1278"/>
      <c r="H29" s="1278"/>
      <c r="I29" s="1278"/>
      <c r="J29" s="1278"/>
      <c r="K29" s="1278"/>
      <c r="L29" s="1278"/>
    </row>
    <row r="30" spans="2:18" ht="27" customHeight="1" thickTop="1" thickBot="1">
      <c r="B30" s="1179" t="s">
        <v>413</v>
      </c>
      <c r="C30" s="1179"/>
      <c r="D30" s="1179"/>
      <c r="E30" s="1179"/>
      <c r="F30" s="1179"/>
      <c r="G30" s="4" t="str">
        <f>'31-Capital Bond Schedule'!G30</f>
        <v>2025 Maturity</v>
      </c>
      <c r="H30" s="1241" t="s">
        <v>91</v>
      </c>
      <c r="I30" s="1180"/>
      <c r="J30" s="1260" t="s">
        <v>89</v>
      </c>
      <c r="K30" s="1284"/>
      <c r="L30" s="611" t="s">
        <v>90</v>
      </c>
    </row>
    <row r="31" spans="2:18" ht="21" customHeight="1" thickTop="1">
      <c r="B31" s="420"/>
      <c r="C31" s="420"/>
      <c r="D31" s="420"/>
      <c r="E31" s="420"/>
      <c r="F31" s="420"/>
      <c r="G31" s="454"/>
      <c r="H31" s="1293"/>
      <c r="I31" s="1294"/>
      <c r="J31" s="1295"/>
      <c r="K31" s="1254"/>
      <c r="L31" s="612"/>
    </row>
    <row r="32" spans="2:18" ht="21" customHeight="1">
      <c r="B32" s="417"/>
      <c r="C32" s="417"/>
      <c r="D32" s="417"/>
      <c r="E32" s="417"/>
      <c r="F32" s="417"/>
      <c r="G32" s="450"/>
      <c r="H32" s="1291"/>
      <c r="I32" s="1292"/>
      <c r="J32" s="1265"/>
      <c r="K32" s="1256"/>
      <c r="L32" s="472"/>
    </row>
    <row r="33" spans="2:12" ht="21" customHeight="1">
      <c r="B33" s="417"/>
      <c r="C33" s="417"/>
      <c r="D33" s="417"/>
      <c r="E33" s="417"/>
      <c r="F33" s="417"/>
      <c r="G33" s="450"/>
      <c r="H33" s="1291"/>
      <c r="I33" s="1292"/>
      <c r="J33" s="1265"/>
      <c r="K33" s="1256"/>
      <c r="L33" s="472"/>
    </row>
    <row r="34" spans="2:12" ht="21" customHeight="1">
      <c r="B34" s="417"/>
      <c r="C34" s="417"/>
      <c r="D34" s="417"/>
      <c r="E34" s="417"/>
      <c r="F34" s="417"/>
      <c r="G34" s="450"/>
      <c r="H34" s="1291"/>
      <c r="I34" s="1292"/>
      <c r="J34" s="1265"/>
      <c r="K34" s="1256"/>
      <c r="L34" s="472"/>
    </row>
    <row r="35" spans="2:12" ht="21" customHeight="1">
      <c r="B35" s="417"/>
      <c r="C35" s="417"/>
      <c r="D35" s="417"/>
      <c r="E35" s="417"/>
      <c r="F35" s="417"/>
      <c r="G35" s="450"/>
      <c r="H35" s="1291"/>
      <c r="I35" s="1292"/>
      <c r="J35" s="1265"/>
      <c r="K35" s="1256"/>
      <c r="L35" s="472"/>
    </row>
    <row r="36" spans="2:12" ht="21" customHeight="1">
      <c r="B36" s="417"/>
      <c r="C36" s="417"/>
      <c r="D36" s="417"/>
      <c r="E36" s="417"/>
      <c r="F36" s="417"/>
      <c r="G36" s="450"/>
      <c r="H36" s="1291"/>
      <c r="I36" s="1292"/>
      <c r="J36" s="1265"/>
      <c r="K36" s="1256"/>
      <c r="L36" s="472"/>
    </row>
    <row r="37" spans="2:12" ht="21" customHeight="1">
      <c r="B37" s="417"/>
      <c r="C37" s="417"/>
      <c r="D37" s="417"/>
      <c r="E37" s="417"/>
      <c r="F37" s="417"/>
      <c r="G37" s="450"/>
      <c r="H37" s="1291"/>
      <c r="I37" s="1292"/>
      <c r="J37" s="1265"/>
      <c r="K37" s="1256"/>
      <c r="L37" s="472"/>
    </row>
    <row r="38" spans="2:12" ht="21" customHeight="1">
      <c r="B38" s="417"/>
      <c r="C38" s="417"/>
      <c r="D38" s="417"/>
      <c r="E38" s="417"/>
      <c r="F38" s="417"/>
      <c r="G38" s="450"/>
      <c r="H38" s="1291"/>
      <c r="I38" s="1292"/>
      <c r="J38" s="1265"/>
      <c r="K38" s="1256"/>
      <c r="L38" s="472"/>
    </row>
    <row r="39" spans="2:12" ht="21" customHeight="1" thickBot="1">
      <c r="B39" s="27"/>
      <c r="C39" s="27"/>
      <c r="D39" s="27"/>
      <c r="E39" s="27"/>
      <c r="F39" s="41" t="s">
        <v>201</v>
      </c>
      <c r="G39" s="755">
        <f>SUM(G31:G38)</f>
        <v>0</v>
      </c>
      <c r="H39" s="1289">
        <f>SUM(H31:I38)</f>
        <v>0</v>
      </c>
      <c r="I39" s="1290"/>
      <c r="J39" s="40"/>
      <c r="K39" s="27"/>
      <c r="L39" s="19"/>
    </row>
    <row r="40" spans="2:12" ht="13.8" thickTop="1">
      <c r="G40" s="54"/>
      <c r="H40" s="54"/>
      <c r="I40" s="54"/>
    </row>
    <row r="47" spans="2:12" ht="13.8">
      <c r="B47" s="1130" t="s">
        <v>3339</v>
      </c>
      <c r="C47" s="1130"/>
      <c r="D47" s="1130"/>
      <c r="E47" s="1130"/>
      <c r="F47" s="1130"/>
      <c r="G47" s="1130"/>
      <c r="H47" s="1130"/>
      <c r="I47" s="1130"/>
      <c r="J47" s="1130"/>
      <c r="K47" s="1130"/>
      <c r="L47" s="1130"/>
    </row>
  </sheetData>
  <sheetProtection algorithmName="SHA-512" hashValue="51cOS4QD4J1tQo6fCiLVnLIEdNS38y9PkSdvEw7H4i2OflPONxMWcxiHZRO1nwkMMzme718AlRGPBq3WYgtHjA==" saltValue="LX3istTQMSJ+B++wm7ppNw==" spinCount="100000" sheet="1" objects="1" scenarios="1"/>
  <mergeCells count="48">
    <mergeCell ref="B47:L47"/>
    <mergeCell ref="H34:I34"/>
    <mergeCell ref="J34:K34"/>
    <mergeCell ref="H35:I35"/>
    <mergeCell ref="J35:K35"/>
    <mergeCell ref="H36:I36"/>
    <mergeCell ref="J36:K36"/>
    <mergeCell ref="H37:I37"/>
    <mergeCell ref="J37:K37"/>
    <mergeCell ref="H38:I38"/>
    <mergeCell ref="J38:K38"/>
    <mergeCell ref="H39:I39"/>
    <mergeCell ref="H31:I31"/>
    <mergeCell ref="J31:K31"/>
    <mergeCell ref="H32:I32"/>
    <mergeCell ref="J32:K32"/>
    <mergeCell ref="H33:I33"/>
    <mergeCell ref="J33:K33"/>
    <mergeCell ref="K26:L26"/>
    <mergeCell ref="K27:L27"/>
    <mergeCell ref="B29:L29"/>
    <mergeCell ref="B30:F30"/>
    <mergeCell ref="H30:I30"/>
    <mergeCell ref="J30:K30"/>
    <mergeCell ref="K25:L25"/>
    <mergeCell ref="K14:L14"/>
    <mergeCell ref="K15:L15"/>
    <mergeCell ref="K16:L16"/>
    <mergeCell ref="B17:I17"/>
    <mergeCell ref="H18:I18"/>
    <mergeCell ref="H19:I19"/>
    <mergeCell ref="H20:I20"/>
    <mergeCell ref="H21:I21"/>
    <mergeCell ref="H22:I22"/>
    <mergeCell ref="H23:I23"/>
    <mergeCell ref="H24:I24"/>
    <mergeCell ref="H13:I13"/>
    <mergeCell ref="B2:L2"/>
    <mergeCell ref="B3:L3"/>
    <mergeCell ref="B4:L4"/>
    <mergeCell ref="H6:I6"/>
    <mergeCell ref="J6:L6"/>
    <mergeCell ref="H7:I7"/>
    <mergeCell ref="H8:I8"/>
    <mergeCell ref="H9:I9"/>
    <mergeCell ref="H10:I10"/>
    <mergeCell ref="H11:I11"/>
    <mergeCell ref="H12:I12"/>
  </mergeCells>
  <pageMargins left="0.25" right="0.25" top="0.5" bottom="0.5" header="0.25" footer="0.25"/>
  <pageSetup paperSize="5"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50D66-1216-4E87-A01F-E37A5C02AD59}">
  <sheetPr codeName="Sheet132"/>
  <dimension ref="B2:R47"/>
  <sheetViews>
    <sheetView workbookViewId="0">
      <selection activeCell="T15" sqref="T15"/>
    </sheetView>
  </sheetViews>
  <sheetFormatPr defaultColWidth="9.109375" defaultRowHeight="13.2"/>
  <cols>
    <col min="1" max="4" width="4.6640625" customWidth="1"/>
    <col min="5" max="5" width="17.88671875" customWidth="1"/>
    <col min="7" max="7" width="16.6640625" customWidth="1"/>
    <col min="8" max="8" width="1.6640625" customWidth="1"/>
    <col min="9" max="9" width="15.6640625" customWidth="1"/>
    <col min="10" max="10" width="1.6640625" customWidth="1"/>
    <col min="11" max="11" width="8.6640625" customWidth="1"/>
    <col min="12" max="12" width="7.6640625" customWidth="1"/>
    <col min="17" max="17" width="11.109375" bestFit="1" customWidth="1"/>
    <col min="18" max="18" width="13.88671875" customWidth="1"/>
  </cols>
  <sheetData>
    <row r="2" spans="2:18" ht="20.399999999999999">
      <c r="B2" s="1131" t="s">
        <v>480</v>
      </c>
      <c r="C2" s="1131"/>
      <c r="D2" s="1131"/>
      <c r="E2" s="1131"/>
      <c r="F2" s="1131"/>
      <c r="G2" s="1131"/>
      <c r="H2" s="1131"/>
      <c r="I2" s="1131"/>
      <c r="J2" s="1131"/>
      <c r="K2" s="1131"/>
      <c r="L2" s="1131"/>
    </row>
    <row r="3" spans="2:18" ht="21" thickBot="1">
      <c r="B3" s="1131" t="str">
        <f>" AND "&amp;IF('KEY INPUTS'!C42="State Fiscal Year","FISCAL  YEAR  "&amp;'KEY INPUTS'!D33+1&amp;"",'KEY INPUTS'!D34+1)&amp;"  DEBT  SERVICE  FOR  LOANS"</f>
        <v xml:space="preserve"> AND 2025  DEBT  SERVICE  FOR  LOANS</v>
      </c>
      <c r="C3" s="1131"/>
      <c r="D3" s="1131"/>
      <c r="E3" s="1131"/>
      <c r="F3" s="1131"/>
      <c r="G3" s="1131"/>
      <c r="H3" s="1131"/>
      <c r="I3" s="1131"/>
      <c r="J3" s="1131"/>
      <c r="K3" s="1131"/>
      <c r="L3" s="1131"/>
    </row>
    <row r="4" spans="2:18" ht="16.2" thickBot="1">
      <c r="B4" s="1132" t="str">
        <f>IF(R4&lt;&gt;"",(UPPER(R4)),"")&amp;" LOAN"</f>
        <v xml:space="preserve"> LOAN</v>
      </c>
      <c r="C4" s="1132"/>
      <c r="D4" s="1132"/>
      <c r="E4" s="1132"/>
      <c r="F4" s="1132"/>
      <c r="G4" s="1132"/>
      <c r="H4" s="1132"/>
      <c r="I4" s="1132"/>
      <c r="J4" s="1132"/>
      <c r="K4" s="1132"/>
      <c r="L4" s="1132"/>
      <c r="Q4" s="1056" t="s">
        <v>3576</v>
      </c>
      <c r="R4" s="1057"/>
    </row>
    <row r="5" spans="2:18" ht="9.75" customHeight="1" thickBot="1">
      <c r="B5" s="104"/>
      <c r="C5" s="104"/>
      <c r="D5" s="104"/>
      <c r="E5" s="104"/>
      <c r="F5" s="104"/>
      <c r="G5" s="104"/>
      <c r="H5" s="104"/>
      <c r="I5" s="104"/>
      <c r="J5" s="104"/>
      <c r="K5" s="104"/>
      <c r="L5" s="104"/>
    </row>
    <row r="6" spans="2:18" ht="27.75" customHeight="1" thickTop="1" thickBot="1">
      <c r="B6" s="58"/>
      <c r="C6" s="58"/>
      <c r="D6" s="58"/>
      <c r="E6" s="58"/>
      <c r="F6" s="58"/>
      <c r="G6" s="4" t="s">
        <v>96</v>
      </c>
      <c r="H6" s="1241" t="s">
        <v>97</v>
      </c>
      <c r="I6" s="1180"/>
      <c r="J6" s="1260" t="str">
        <f>'31-Capital Bond Schedule'!J6:L6</f>
        <v>2025  Debt Service</v>
      </c>
      <c r="K6" s="1261"/>
      <c r="L6" s="1262"/>
    </row>
    <row r="7" spans="2:18" ht="21" customHeight="1" thickTop="1">
      <c r="B7" s="22" t="str">
        <f>'31-Capital Bond Schedule'!B7</f>
        <v>Outstanding - January 1, 2024</v>
      </c>
      <c r="C7" s="22"/>
      <c r="D7" s="22"/>
      <c r="E7" s="22"/>
      <c r="F7" s="22"/>
      <c r="G7" s="757" t="s">
        <v>627</v>
      </c>
      <c r="H7" s="1296"/>
      <c r="I7" s="1297"/>
      <c r="J7" s="70"/>
      <c r="L7" s="610"/>
    </row>
    <row r="8" spans="2:18" ht="21" customHeight="1">
      <c r="B8" s="5" t="s">
        <v>92</v>
      </c>
      <c r="C8" s="5"/>
      <c r="D8" s="5"/>
      <c r="E8" s="5"/>
      <c r="F8" s="5"/>
      <c r="G8" s="702" t="s">
        <v>627</v>
      </c>
      <c r="H8" s="1258"/>
      <c r="I8" s="1259"/>
      <c r="J8" s="70"/>
      <c r="L8" s="610"/>
    </row>
    <row r="9" spans="2:18" ht="21" customHeight="1">
      <c r="B9" s="5" t="s">
        <v>254</v>
      </c>
      <c r="C9" s="5"/>
      <c r="D9" s="5"/>
      <c r="E9" s="5"/>
      <c r="F9" s="5"/>
      <c r="G9" s="291"/>
      <c r="H9" s="1298" t="s">
        <v>627</v>
      </c>
      <c r="I9" s="1299"/>
      <c r="J9" s="70"/>
      <c r="L9" s="610"/>
    </row>
    <row r="10" spans="2:18" ht="21" customHeight="1">
      <c r="B10" s="5" t="s">
        <v>149</v>
      </c>
      <c r="C10" s="5"/>
      <c r="D10" s="5"/>
      <c r="E10" s="5"/>
      <c r="F10" s="5"/>
      <c r="G10" s="291"/>
      <c r="H10" s="1258"/>
      <c r="I10" s="1259"/>
      <c r="J10" s="70"/>
      <c r="L10" s="610"/>
    </row>
    <row r="11" spans="2:18" ht="21" customHeight="1">
      <c r="B11" s="417"/>
      <c r="C11" s="417"/>
      <c r="D11" s="417"/>
      <c r="E11" s="417"/>
      <c r="F11" s="417"/>
      <c r="G11" s="450"/>
      <c r="H11" s="1291"/>
      <c r="I11" s="1292"/>
      <c r="J11" s="70"/>
      <c r="L11" s="610"/>
    </row>
    <row r="12" spans="2:18" ht="21" customHeight="1" thickBot="1">
      <c r="B12" s="5" t="str">
        <f>'31-Capital Bond Schedule'!B12</f>
        <v>Outstanding - December 31, 2024</v>
      </c>
      <c r="C12" s="5"/>
      <c r="D12" s="5"/>
      <c r="E12" s="5"/>
      <c r="F12" s="5"/>
      <c r="G12" s="758">
        <f>+H7+H8-G9-G10-G11+H10+H11</f>
        <v>0</v>
      </c>
      <c r="H12" s="1300" t="s">
        <v>627</v>
      </c>
      <c r="I12" s="1301"/>
      <c r="J12" s="70"/>
      <c r="L12" s="610"/>
    </row>
    <row r="13" spans="2:18" ht="21" customHeight="1" thickBot="1">
      <c r="G13" s="755">
        <f>SUM(G7:G12)</f>
        <v>0</v>
      </c>
      <c r="H13" s="1304">
        <f>SUM(H7:I12)</f>
        <v>0</v>
      </c>
      <c r="I13" s="1305"/>
      <c r="J13" s="70"/>
      <c r="L13" s="610"/>
    </row>
    <row r="14" spans="2:18" ht="21" customHeight="1" thickTop="1">
      <c r="B14" s="30" t="str">
        <f>'31A.1-Loan Schedule'!B14</f>
        <v>2025 Loan Maturities</v>
      </c>
      <c r="C14" s="30"/>
      <c r="D14" s="30"/>
      <c r="E14" s="30"/>
      <c r="F14" s="30"/>
      <c r="G14" s="30"/>
      <c r="H14" s="30"/>
      <c r="I14" s="115"/>
      <c r="J14" s="30" t="s">
        <v>373</v>
      </c>
      <c r="K14" s="1263"/>
      <c r="L14" s="1264"/>
      <c r="P14" s="294"/>
    </row>
    <row r="15" spans="2:18" ht="21" customHeight="1">
      <c r="B15" s="5" t="str">
        <f>'31A.1-Loan Schedule'!B15</f>
        <v xml:space="preserve">2025 Interest on Loans </v>
      </c>
      <c r="C15" s="5"/>
      <c r="D15" s="5"/>
      <c r="E15" s="5"/>
      <c r="F15" s="5"/>
      <c r="G15" s="46"/>
      <c r="H15" s="5"/>
      <c r="I15" s="97"/>
      <c r="J15" s="30" t="s">
        <v>373</v>
      </c>
      <c r="K15" s="1263"/>
      <c r="L15" s="1264"/>
    </row>
    <row r="16" spans="2:18" ht="16.5" customHeight="1" thickBot="1">
      <c r="B16" s="10" t="str">
        <f>"Total "&amp;IF('KEY INPUTS'!C42="State Fiscal Year","Fiscal Year "&amp;'KEY INPUTS'!D33+1&amp;"",'KEY INPUTS'!D34+1)&amp;" Debt Service for "&amp;IF(R4&lt;&gt;"",R4,"")&amp;" Loan"</f>
        <v>Total 2025 Debt Service for  Loan</v>
      </c>
      <c r="C16" s="10"/>
      <c r="D16" s="10"/>
      <c r="E16" s="10"/>
      <c r="F16" s="10"/>
      <c r="G16" s="945"/>
      <c r="H16" s="10"/>
      <c r="I16" s="219"/>
      <c r="J16" s="40" t="s">
        <v>373</v>
      </c>
      <c r="K16" s="1302">
        <f>+K14+K15</f>
        <v>0</v>
      </c>
      <c r="L16" s="1303"/>
    </row>
    <row r="17" spans="2:18" ht="16.8" thickTop="1" thickBot="1">
      <c r="B17" s="1276" t="str">
        <f>IF(R17&lt;&gt;"",(UPPER(R17)),"")&amp;" LOAN"</f>
        <v xml:space="preserve"> LOAN</v>
      </c>
      <c r="C17" s="1276"/>
      <c r="D17" s="1276"/>
      <c r="E17" s="1276"/>
      <c r="F17" s="1276"/>
      <c r="G17" s="1276"/>
      <c r="H17" s="1276"/>
      <c r="I17" s="1277"/>
      <c r="L17" s="178"/>
      <c r="Q17" s="1056" t="s">
        <v>3576</v>
      </c>
      <c r="R17" s="1057"/>
    </row>
    <row r="18" spans="2:18" ht="21" customHeight="1" thickTop="1">
      <c r="B18" s="22" t="str">
        <f>B7</f>
        <v>Outstanding - January 1, 2024</v>
      </c>
      <c r="C18" s="22"/>
      <c r="D18" s="22"/>
      <c r="E18" s="22"/>
      <c r="F18" s="22"/>
      <c r="G18" s="757" t="s">
        <v>627</v>
      </c>
      <c r="H18" s="1258"/>
      <c r="I18" s="1259"/>
      <c r="L18" s="610"/>
    </row>
    <row r="19" spans="2:18" ht="21" customHeight="1">
      <c r="B19" s="5" t="s">
        <v>92</v>
      </c>
      <c r="C19" s="5"/>
      <c r="D19" s="5"/>
      <c r="E19" s="5"/>
      <c r="F19" s="5"/>
      <c r="G19" s="702" t="s">
        <v>627</v>
      </c>
      <c r="H19" s="1258"/>
      <c r="I19" s="1259"/>
      <c r="L19" s="610"/>
    </row>
    <row r="20" spans="2:18" ht="21" customHeight="1">
      <c r="B20" s="5" t="s">
        <v>254</v>
      </c>
      <c r="C20" s="5"/>
      <c r="D20" s="5"/>
      <c r="E20" s="5"/>
      <c r="F20" s="5"/>
      <c r="G20" s="291"/>
      <c r="H20" s="1306" t="s">
        <v>627</v>
      </c>
      <c r="I20" s="1307"/>
      <c r="L20" s="610"/>
    </row>
    <row r="21" spans="2:18" ht="21" customHeight="1">
      <c r="B21" s="417"/>
      <c r="C21" s="417"/>
      <c r="D21" s="417"/>
      <c r="E21" s="417"/>
      <c r="F21" s="417"/>
      <c r="G21" s="450"/>
      <c r="H21" s="1291"/>
      <c r="I21" s="1292"/>
      <c r="L21" s="610"/>
    </row>
    <row r="22" spans="2:18" ht="21" customHeight="1">
      <c r="B22" s="417"/>
      <c r="C22" s="417"/>
      <c r="D22" s="417"/>
      <c r="E22" s="417"/>
      <c r="F22" s="417"/>
      <c r="G22" s="450"/>
      <c r="H22" s="1291"/>
      <c r="I22" s="1292"/>
      <c r="L22" s="610"/>
    </row>
    <row r="23" spans="2:18" ht="21" customHeight="1" thickBot="1">
      <c r="B23" s="5" t="str">
        <f>B12</f>
        <v>Outstanding - December 31, 2024</v>
      </c>
      <c r="C23" s="5"/>
      <c r="D23" s="5"/>
      <c r="E23" s="5"/>
      <c r="F23" s="5"/>
      <c r="G23" s="758">
        <f>+H18+H19-G20-G21-G22+H21+H22</f>
        <v>0</v>
      </c>
      <c r="H23" s="1300" t="s">
        <v>627</v>
      </c>
      <c r="I23" s="1301"/>
      <c r="L23" s="610"/>
    </row>
    <row r="24" spans="2:18" ht="21" customHeight="1" thickBot="1">
      <c r="G24" s="755">
        <f>SUM(G18:G23)</f>
        <v>0</v>
      </c>
      <c r="H24" s="1304">
        <f>SUM(H18:I23)</f>
        <v>0</v>
      </c>
      <c r="I24" s="1305"/>
      <c r="L24" s="610"/>
    </row>
    <row r="25" spans="2:18" ht="21" customHeight="1" thickTop="1">
      <c r="B25" s="30" t="str">
        <f>B14</f>
        <v>2025 Loan Maturities</v>
      </c>
      <c r="C25" s="30"/>
      <c r="D25" s="30"/>
      <c r="E25" s="30"/>
      <c r="F25" s="30"/>
      <c r="G25" s="30"/>
      <c r="H25" s="30"/>
      <c r="I25" s="115"/>
      <c r="J25" s="30" t="s">
        <v>373</v>
      </c>
      <c r="K25" s="1263"/>
      <c r="L25" s="1264"/>
    </row>
    <row r="26" spans="2:18" ht="21" customHeight="1">
      <c r="B26" s="5" t="str">
        <f>B15</f>
        <v xml:space="preserve">2025 Interest on Loans </v>
      </c>
      <c r="C26" s="5"/>
      <c r="D26" s="5"/>
      <c r="E26" s="5"/>
      <c r="F26" s="5"/>
      <c r="G26" s="46"/>
      <c r="H26" s="5"/>
      <c r="I26" s="97"/>
      <c r="J26" s="30" t="s">
        <v>373</v>
      </c>
      <c r="K26" s="1263"/>
      <c r="L26" s="1264"/>
    </row>
    <row r="27" spans="2:18" ht="21" customHeight="1" thickBot="1">
      <c r="B27" s="27" t="str">
        <f>"Total "&amp;IF('KEY INPUTS'!C42="State Fiscal Year","Fiscal Year "&amp;'KEY INPUTS'!D33+1&amp;"",'KEY INPUTS'!D34+1)&amp;" Debt Service for "&amp;IF(R17&lt;&gt;"",R17,"")&amp;" Loan"</f>
        <v>Total 2025 Debt Service for  Loan</v>
      </c>
      <c r="C27" s="27"/>
      <c r="D27" s="27"/>
      <c r="E27" s="27"/>
      <c r="F27" s="27"/>
      <c r="G27" s="27"/>
      <c r="H27" s="10"/>
      <c r="I27" s="219"/>
      <c r="J27" s="10" t="s">
        <v>373</v>
      </c>
      <c r="K27" s="1287">
        <f>+K25+K26</f>
        <v>0</v>
      </c>
      <c r="L27" s="1288"/>
    </row>
    <row r="28" spans="2:18" ht="21" customHeight="1" thickTop="1"/>
    <row r="29" spans="2:18" ht="21" customHeight="1" thickBot="1">
      <c r="B29" s="1278" t="str">
        <f>"LIST  OF  LOANS  ISSUED  DURING  "&amp;IF('KEY INPUTS'!C42="State Fiscal Year","FISCAL  YEAR  "&amp;'KEY INPUTS'!D33&amp;"",'KEY INPUTS'!D34)</f>
        <v>LIST  OF  LOANS  ISSUED  DURING  2024</v>
      </c>
      <c r="C29" s="1278"/>
      <c r="D29" s="1278"/>
      <c r="E29" s="1278"/>
      <c r="F29" s="1278"/>
      <c r="G29" s="1278"/>
      <c r="H29" s="1278"/>
      <c r="I29" s="1278"/>
      <c r="J29" s="1278"/>
      <c r="K29" s="1278"/>
      <c r="L29" s="1278"/>
    </row>
    <row r="30" spans="2:18" ht="27" customHeight="1" thickTop="1" thickBot="1">
      <c r="B30" s="1179" t="s">
        <v>413</v>
      </c>
      <c r="C30" s="1179"/>
      <c r="D30" s="1179"/>
      <c r="E30" s="1179"/>
      <c r="F30" s="1179"/>
      <c r="G30" s="4" t="str">
        <f>'31-Capital Bond Schedule'!G30</f>
        <v>2025 Maturity</v>
      </c>
      <c r="H30" s="1241" t="s">
        <v>91</v>
      </c>
      <c r="I30" s="1180"/>
      <c r="J30" s="1260" t="s">
        <v>89</v>
      </c>
      <c r="K30" s="1284"/>
      <c r="L30" s="611" t="s">
        <v>90</v>
      </c>
    </row>
    <row r="31" spans="2:18" ht="21" customHeight="1" thickTop="1">
      <c r="B31" s="420"/>
      <c r="C31" s="420"/>
      <c r="D31" s="420"/>
      <c r="E31" s="420"/>
      <c r="F31" s="420"/>
      <c r="G31" s="454"/>
      <c r="H31" s="1293"/>
      <c r="I31" s="1294"/>
      <c r="J31" s="1295"/>
      <c r="K31" s="1254"/>
      <c r="L31" s="612"/>
    </row>
    <row r="32" spans="2:18" ht="21" customHeight="1">
      <c r="B32" s="417"/>
      <c r="C32" s="417"/>
      <c r="D32" s="417"/>
      <c r="E32" s="417"/>
      <c r="F32" s="417"/>
      <c r="G32" s="450"/>
      <c r="H32" s="1291"/>
      <c r="I32" s="1292"/>
      <c r="J32" s="1265"/>
      <c r="K32" s="1256"/>
      <c r="L32" s="472"/>
    </row>
    <row r="33" spans="2:12" ht="21" customHeight="1">
      <c r="B33" s="417"/>
      <c r="C33" s="417"/>
      <c r="D33" s="417"/>
      <c r="E33" s="417"/>
      <c r="F33" s="417"/>
      <c r="G33" s="450"/>
      <c r="H33" s="1291"/>
      <c r="I33" s="1292"/>
      <c r="J33" s="1265"/>
      <c r="K33" s="1256"/>
      <c r="L33" s="472"/>
    </row>
    <row r="34" spans="2:12" ht="21" customHeight="1">
      <c r="B34" s="417"/>
      <c r="C34" s="417"/>
      <c r="D34" s="417"/>
      <c r="E34" s="417"/>
      <c r="F34" s="417"/>
      <c r="G34" s="450"/>
      <c r="H34" s="1291"/>
      <c r="I34" s="1292"/>
      <c r="J34" s="1265"/>
      <c r="K34" s="1256"/>
      <c r="L34" s="472"/>
    </row>
    <row r="35" spans="2:12" ht="21" customHeight="1">
      <c r="B35" s="417"/>
      <c r="C35" s="417"/>
      <c r="D35" s="417"/>
      <c r="E35" s="417"/>
      <c r="F35" s="417"/>
      <c r="G35" s="450"/>
      <c r="H35" s="1291"/>
      <c r="I35" s="1292"/>
      <c r="J35" s="1265"/>
      <c r="K35" s="1256"/>
      <c r="L35" s="472"/>
    </row>
    <row r="36" spans="2:12" ht="21" customHeight="1">
      <c r="B36" s="417"/>
      <c r="C36" s="417"/>
      <c r="D36" s="417"/>
      <c r="E36" s="417"/>
      <c r="F36" s="417"/>
      <c r="G36" s="450"/>
      <c r="H36" s="1291"/>
      <c r="I36" s="1292"/>
      <c r="J36" s="1265"/>
      <c r="K36" s="1256"/>
      <c r="L36" s="472"/>
    </row>
    <row r="37" spans="2:12" ht="21" customHeight="1">
      <c r="B37" s="417"/>
      <c r="C37" s="417"/>
      <c r="D37" s="417"/>
      <c r="E37" s="417"/>
      <c r="F37" s="417"/>
      <c r="G37" s="450"/>
      <c r="H37" s="1291"/>
      <c r="I37" s="1292"/>
      <c r="J37" s="1265"/>
      <c r="K37" s="1256"/>
      <c r="L37" s="472"/>
    </row>
    <row r="38" spans="2:12" ht="21" customHeight="1">
      <c r="B38" s="417"/>
      <c r="C38" s="417"/>
      <c r="D38" s="417"/>
      <c r="E38" s="417"/>
      <c r="F38" s="417"/>
      <c r="G38" s="450"/>
      <c r="H38" s="1291"/>
      <c r="I38" s="1292"/>
      <c r="J38" s="1265"/>
      <c r="K38" s="1256"/>
      <c r="L38" s="472"/>
    </row>
    <row r="39" spans="2:12" ht="21" customHeight="1" thickBot="1">
      <c r="B39" s="27"/>
      <c r="C39" s="27"/>
      <c r="D39" s="27"/>
      <c r="E39" s="27"/>
      <c r="F39" s="41" t="s">
        <v>201</v>
      </c>
      <c r="G39" s="755">
        <f>SUM(G31:G38)</f>
        <v>0</v>
      </c>
      <c r="H39" s="1289">
        <f>SUM(H31:I38)</f>
        <v>0</v>
      </c>
      <c r="I39" s="1290"/>
      <c r="J39" s="40"/>
      <c r="K39" s="27"/>
      <c r="L39" s="19"/>
    </row>
    <row r="40" spans="2:12" ht="13.8" thickTop="1">
      <c r="G40" s="54"/>
      <c r="H40" s="54"/>
      <c r="I40" s="54"/>
    </row>
    <row r="47" spans="2:12" ht="13.8">
      <c r="B47" s="1130" t="s">
        <v>3338</v>
      </c>
      <c r="C47" s="1130"/>
      <c r="D47" s="1130"/>
      <c r="E47" s="1130"/>
      <c r="F47" s="1130"/>
      <c r="G47" s="1130"/>
      <c r="H47" s="1130"/>
      <c r="I47" s="1130"/>
      <c r="J47" s="1130"/>
      <c r="K47" s="1130"/>
      <c r="L47" s="1130"/>
    </row>
  </sheetData>
  <sheetProtection algorithmName="SHA-512" hashValue="HEHzfAvk6FdzQzgg7XP8YqznCXeXV7D7ZWbjuIvvv2Qp9MEBHgxqENHs2QXOL2GRNOStS0g0mssYgzIiSfoNsg==" saltValue="ok6OcbnY2+Hr9PO+OngzLw==" spinCount="100000" sheet="1" objects="1" scenarios="1"/>
  <mergeCells count="48">
    <mergeCell ref="B47:L47"/>
    <mergeCell ref="H34:I34"/>
    <mergeCell ref="J34:K34"/>
    <mergeCell ref="H35:I35"/>
    <mergeCell ref="J35:K35"/>
    <mergeCell ref="H36:I36"/>
    <mergeCell ref="J36:K36"/>
    <mergeCell ref="H37:I37"/>
    <mergeCell ref="J37:K37"/>
    <mergeCell ref="H38:I38"/>
    <mergeCell ref="J38:K38"/>
    <mergeCell ref="H39:I39"/>
    <mergeCell ref="H31:I31"/>
    <mergeCell ref="J31:K31"/>
    <mergeCell ref="H32:I32"/>
    <mergeCell ref="J32:K32"/>
    <mergeCell ref="H33:I33"/>
    <mergeCell ref="J33:K33"/>
    <mergeCell ref="K26:L26"/>
    <mergeCell ref="K27:L27"/>
    <mergeCell ref="B29:L29"/>
    <mergeCell ref="B30:F30"/>
    <mergeCell ref="H30:I30"/>
    <mergeCell ref="J30:K30"/>
    <mergeCell ref="K25:L25"/>
    <mergeCell ref="K14:L14"/>
    <mergeCell ref="K15:L15"/>
    <mergeCell ref="K16:L16"/>
    <mergeCell ref="B17:I17"/>
    <mergeCell ref="H18:I18"/>
    <mergeCell ref="H19:I19"/>
    <mergeCell ref="H20:I20"/>
    <mergeCell ref="H21:I21"/>
    <mergeCell ref="H22:I22"/>
    <mergeCell ref="H23:I23"/>
    <mergeCell ref="H24:I24"/>
    <mergeCell ref="H13:I13"/>
    <mergeCell ref="B2:L2"/>
    <mergeCell ref="B3:L3"/>
    <mergeCell ref="B4:L4"/>
    <mergeCell ref="H6:I6"/>
    <mergeCell ref="J6:L6"/>
    <mergeCell ref="H7:I7"/>
    <mergeCell ref="H8:I8"/>
    <mergeCell ref="H9:I9"/>
    <mergeCell ref="H10:I10"/>
    <mergeCell ref="H11:I11"/>
    <mergeCell ref="H12:I12"/>
  </mergeCells>
  <pageMargins left="0.25" right="0.25" top="0.5" bottom="0.5" header="0.25" footer="0.25"/>
  <pageSetup paperSize="5"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33"/>
  <dimension ref="B2:P48"/>
  <sheetViews>
    <sheetView zoomScaleNormal="100" workbookViewId="0">
      <selection activeCell="J6" sqref="J6:L6"/>
    </sheetView>
  </sheetViews>
  <sheetFormatPr defaultRowHeight="13.2"/>
  <cols>
    <col min="1" max="4" width="4.6640625" customWidth="1"/>
    <col min="5" max="5" width="17.88671875" customWidth="1"/>
    <col min="7" max="7" width="16.6640625" customWidth="1"/>
    <col min="8" max="8" width="1.6640625" customWidth="1"/>
    <col min="9" max="9" width="15.6640625" customWidth="1"/>
    <col min="10" max="10" width="1.6640625" customWidth="1"/>
    <col min="11" max="11" width="8.6640625" customWidth="1"/>
    <col min="12" max="12" width="7.6640625" customWidth="1"/>
  </cols>
  <sheetData>
    <row r="2" spans="2:16" ht="20.399999999999999">
      <c r="B2" s="1131" t="s">
        <v>127</v>
      </c>
      <c r="C2" s="1131"/>
      <c r="D2" s="1131"/>
      <c r="E2" s="1131"/>
      <c r="F2" s="1131"/>
      <c r="G2" s="1131"/>
      <c r="H2" s="1131"/>
      <c r="I2" s="1131"/>
      <c r="J2" s="1131"/>
      <c r="K2" s="1131"/>
      <c r="L2" s="1131"/>
    </row>
    <row r="3" spans="2:16" ht="20.399999999999999">
      <c r="B3" s="1131" t="str">
        <f>" AND "&amp;IF('KEY INPUTS'!C42="State Fiscal Year","FISCAL YEAR "&amp;'KEY INPUTS'!D33+1&amp;"",'KEY INPUTS'!D34+1)&amp;" DEBT  SERVICE  FOR  BONDS"</f>
        <v xml:space="preserve"> AND 2025 DEBT  SERVICE  FOR  BONDS</v>
      </c>
      <c r="C3" s="1131"/>
      <c r="D3" s="1131"/>
      <c r="E3" s="1131"/>
      <c r="F3" s="1131"/>
      <c r="G3" s="1131"/>
      <c r="H3" s="1131"/>
      <c r="I3" s="1131"/>
      <c r="J3" s="1131"/>
      <c r="K3" s="1131"/>
      <c r="L3" s="1131"/>
    </row>
    <row r="4" spans="2:16" ht="15.6">
      <c r="B4" s="1132" t="s">
        <v>554</v>
      </c>
      <c r="C4" s="1132"/>
      <c r="D4" s="1132"/>
      <c r="E4" s="1132"/>
      <c r="F4" s="1132"/>
      <c r="G4" s="1132"/>
      <c r="H4" s="1132"/>
      <c r="I4" s="1132"/>
      <c r="J4" s="1132"/>
      <c r="K4" s="1132"/>
      <c r="L4" s="1132"/>
    </row>
    <row r="5" spans="2:16" ht="9.75" customHeight="1" thickBot="1">
      <c r="B5" s="104"/>
      <c r="C5" s="104"/>
      <c r="D5" s="104"/>
      <c r="E5" s="104"/>
      <c r="F5" s="104"/>
      <c r="G5" s="104"/>
      <c r="H5" s="104"/>
      <c r="I5" s="104"/>
      <c r="J5" s="104"/>
      <c r="K5" s="104"/>
      <c r="L5" s="104"/>
    </row>
    <row r="6" spans="2:16" ht="27.75" customHeight="1" thickTop="1" thickBot="1">
      <c r="B6" s="58"/>
      <c r="C6" s="58"/>
      <c r="D6" s="58"/>
      <c r="E6" s="58"/>
      <c r="F6" s="58"/>
      <c r="G6" s="4" t="s">
        <v>96</v>
      </c>
      <c r="H6" s="1241" t="s">
        <v>97</v>
      </c>
      <c r="I6" s="1180"/>
      <c r="J6" s="1260" t="str">
        <f>'31A-Loan Schedule'!J6:L6</f>
        <v>2025  Debt Service</v>
      </c>
      <c r="K6" s="1261"/>
      <c r="L6" s="1262"/>
    </row>
    <row r="7" spans="2:16" ht="21" customHeight="1" thickTop="1">
      <c r="B7" s="22" t="str">
        <f>'31-Capital Bond Schedule'!B7</f>
        <v>Outstanding - January 1, 2024</v>
      </c>
      <c r="C7" s="22"/>
      <c r="D7" s="22"/>
      <c r="E7" s="22"/>
      <c r="F7" s="22"/>
      <c r="G7" s="137" t="s">
        <v>627</v>
      </c>
      <c r="H7" s="1293"/>
      <c r="I7" s="1294"/>
    </row>
    <row r="8" spans="2:16" ht="21" customHeight="1">
      <c r="B8" s="5" t="s">
        <v>254</v>
      </c>
      <c r="C8" s="5"/>
      <c r="D8" s="5"/>
      <c r="E8" s="5"/>
      <c r="F8" s="5"/>
      <c r="G8" s="291"/>
      <c r="H8" s="1266" t="s">
        <v>627</v>
      </c>
      <c r="I8" s="1267"/>
    </row>
    <row r="9" spans="2:16" ht="21" customHeight="1">
      <c r="B9" s="417"/>
      <c r="C9" s="417"/>
      <c r="D9" s="417"/>
      <c r="E9" s="417"/>
      <c r="F9" s="417"/>
      <c r="G9" s="450"/>
      <c r="H9" s="1291"/>
      <c r="I9" s="1292"/>
    </row>
    <row r="10" spans="2:16" ht="21" customHeight="1">
      <c r="B10" s="417"/>
      <c r="C10" s="417"/>
      <c r="D10" s="417"/>
      <c r="E10" s="417"/>
      <c r="F10" s="417"/>
      <c r="G10" s="450"/>
      <c r="H10" s="1291"/>
      <c r="I10" s="1292"/>
    </row>
    <row r="11" spans="2:16" ht="21" customHeight="1" thickBot="1">
      <c r="B11" s="5" t="str">
        <f>'31-Capital Bond Schedule'!B12</f>
        <v>Outstanding - December 31, 2024</v>
      </c>
      <c r="C11" s="5"/>
      <c r="D11" s="5"/>
      <c r="E11" s="5"/>
      <c r="F11" s="5"/>
      <c r="G11" s="133">
        <f>+H7-G8-G9-G10+H9+H10</f>
        <v>0</v>
      </c>
      <c r="H11" s="1270" t="s">
        <v>627</v>
      </c>
      <c r="I11" s="1271"/>
    </row>
    <row r="12" spans="2:16" ht="21" customHeight="1" thickBot="1">
      <c r="G12" s="129">
        <f>SUM(G7:G11)</f>
        <v>0</v>
      </c>
      <c r="H12" s="1315">
        <f>SUM(H7:I11)</f>
        <v>0</v>
      </c>
      <c r="I12" s="1316"/>
    </row>
    <row r="13" spans="2:16" ht="21" customHeight="1" thickTop="1">
      <c r="B13" s="30" t="str">
        <f>IF('KEY INPUTS'!C42="State Fiscal Year","Fiscal Year "&amp;'KEY INPUTS'!D33+1&amp;"",'KEY INPUTS'!D34+1)&amp;" Bond Maturities - Term Bonds"</f>
        <v>2025 Bond Maturities - Term Bonds</v>
      </c>
      <c r="C13" s="30"/>
      <c r="D13" s="30"/>
      <c r="E13" s="30"/>
      <c r="F13" s="30"/>
      <c r="G13" s="115"/>
      <c r="H13" s="30" t="s">
        <v>373</v>
      </c>
      <c r="I13" s="455"/>
      <c r="J13" s="70"/>
      <c r="K13" s="1318"/>
      <c r="L13" s="1318"/>
    </row>
    <row r="14" spans="2:16" ht="21" customHeight="1" thickBot="1">
      <c r="B14" s="27" t="str">
        <f>IF('KEY INPUTS'!C42="State Fiscal Year","Fiscal Year "&amp;'KEY INPUTS'!D33+1&amp;"",'KEY INPUTS'!D34+1)&amp;" Interest on Bonds"</f>
        <v>2025 Interest on Bonds</v>
      </c>
      <c r="C14" s="27"/>
      <c r="D14" s="27"/>
      <c r="E14" s="27"/>
      <c r="F14" s="27"/>
      <c r="G14" s="73"/>
      <c r="H14" s="27" t="s">
        <v>373</v>
      </c>
      <c r="I14" s="456"/>
      <c r="P14" s="294"/>
    </row>
    <row r="15" spans="2:16" ht="16.5" customHeight="1" thickTop="1">
      <c r="B15" s="1274"/>
      <c r="C15" s="1274"/>
      <c r="D15" s="1274"/>
      <c r="E15" s="1274"/>
      <c r="F15" s="1274"/>
      <c r="G15" s="1274"/>
      <c r="H15" s="1274"/>
      <c r="I15" s="1275"/>
    </row>
    <row r="16" spans="2:16" ht="26.25" customHeight="1" thickBot="1">
      <c r="B16" s="1276" t="s">
        <v>84</v>
      </c>
      <c r="C16" s="1276"/>
      <c r="D16" s="1276"/>
      <c r="E16" s="1276"/>
      <c r="F16" s="1276"/>
      <c r="G16" s="1276"/>
      <c r="H16" s="1276"/>
      <c r="I16" s="1277"/>
    </row>
    <row r="17" spans="2:12" ht="21" customHeight="1" thickTop="1">
      <c r="B17" s="22" t="str">
        <f>B7</f>
        <v>Outstanding - January 1, 2024</v>
      </c>
      <c r="C17" s="22"/>
      <c r="D17" s="22"/>
      <c r="E17" s="22"/>
      <c r="F17" s="22"/>
      <c r="G17" s="137" t="s">
        <v>627</v>
      </c>
      <c r="H17" s="1258"/>
      <c r="I17" s="1259"/>
    </row>
    <row r="18" spans="2:12" ht="21" customHeight="1">
      <c r="B18" s="5" t="s">
        <v>92</v>
      </c>
      <c r="C18" s="5"/>
      <c r="D18" s="5"/>
      <c r="E18" s="5"/>
      <c r="F18" s="5"/>
      <c r="G18" s="138" t="s">
        <v>627</v>
      </c>
      <c r="H18" s="1258"/>
      <c r="I18" s="1259"/>
    </row>
    <row r="19" spans="2:12" ht="21" customHeight="1">
      <c r="B19" s="5" t="s">
        <v>254</v>
      </c>
      <c r="C19" s="5"/>
      <c r="D19" s="5"/>
      <c r="E19" s="5"/>
      <c r="F19" s="5"/>
      <c r="G19" s="291"/>
      <c r="H19" s="1266" t="s">
        <v>627</v>
      </c>
      <c r="I19" s="1267"/>
    </row>
    <row r="20" spans="2:12" ht="21" customHeight="1">
      <c r="B20" s="417"/>
      <c r="C20" s="417"/>
      <c r="D20" s="417"/>
      <c r="E20" s="417"/>
      <c r="F20" s="417"/>
      <c r="G20" s="450"/>
      <c r="H20" s="1291"/>
      <c r="I20" s="1292"/>
    </row>
    <row r="21" spans="2:12" ht="21" customHeight="1">
      <c r="B21" s="417"/>
      <c r="C21" s="417"/>
      <c r="D21" s="417"/>
      <c r="E21" s="417"/>
      <c r="F21" s="417"/>
      <c r="G21" s="450"/>
      <c r="H21" s="1291"/>
      <c r="I21" s="1292"/>
    </row>
    <row r="22" spans="2:12" ht="21" customHeight="1" thickBot="1">
      <c r="B22" s="5" t="str">
        <f>B11</f>
        <v>Outstanding - December 31, 2024</v>
      </c>
      <c r="C22" s="5"/>
      <c r="D22" s="5"/>
      <c r="E22" s="5"/>
      <c r="F22" s="5"/>
      <c r="G22" s="133">
        <f>+H17+H18-G19-G20-G21+H20+H21</f>
        <v>0</v>
      </c>
      <c r="H22" s="1270" t="s">
        <v>627</v>
      </c>
      <c r="I22" s="1271"/>
    </row>
    <row r="23" spans="2:12" ht="21" customHeight="1" thickBot="1">
      <c r="G23" s="129">
        <f>SUM(G17:G22)</f>
        <v>0</v>
      </c>
      <c r="H23" s="1315">
        <f>SUM(H17:I22)</f>
        <v>0</v>
      </c>
      <c r="I23" s="1316"/>
    </row>
    <row r="24" spans="2:12" ht="21" customHeight="1" thickTop="1">
      <c r="B24" s="30" t="str">
        <f>B14</f>
        <v>2025 Interest on Bonds</v>
      </c>
      <c r="C24" s="30"/>
      <c r="D24" s="30"/>
      <c r="E24" s="30"/>
      <c r="F24" s="30"/>
      <c r="G24" s="115"/>
      <c r="H24" s="30" t="s">
        <v>373</v>
      </c>
      <c r="I24" s="458"/>
      <c r="J24" s="70"/>
      <c r="K24" s="1318"/>
      <c r="L24" s="1318"/>
    </row>
    <row r="25" spans="2:12" ht="21" customHeight="1" thickBot="1">
      <c r="B25" s="27" t="str">
        <f>B13</f>
        <v>2025 Bond Maturities - Term Bonds</v>
      </c>
      <c r="C25" s="27"/>
      <c r="D25" s="27"/>
      <c r="E25" s="27"/>
      <c r="F25" s="27"/>
      <c r="G25" s="131"/>
      <c r="H25" s="27"/>
      <c r="I25" s="73"/>
      <c r="J25" s="30" t="s">
        <v>373</v>
      </c>
      <c r="K25" s="1311"/>
      <c r="L25" s="1311"/>
    </row>
    <row r="26" spans="2:12" ht="21" customHeight="1" thickTop="1" thickBot="1">
      <c r="B26" s="10" t="s">
        <v>78</v>
      </c>
      <c r="C26" s="10"/>
      <c r="D26" s="10"/>
      <c r="E26" s="10"/>
      <c r="F26" s="10"/>
      <c r="G26" s="10"/>
      <c r="H26" s="10"/>
      <c r="I26" s="132"/>
      <c r="J26" s="10" t="s">
        <v>373</v>
      </c>
      <c r="K26" s="1317">
        <f>+I24+I14</f>
        <v>0</v>
      </c>
      <c r="L26" s="1317"/>
    </row>
    <row r="27" spans="2:12" ht="21" customHeight="1" thickTop="1"/>
    <row r="28" spans="2:12" ht="21" customHeight="1" thickBot="1">
      <c r="B28" s="1314" t="str">
        <f>"LIST  OF  BONDS  ISSUED  DURING  "&amp;IF('KEY INPUTS'!C42="State Fiscal Year","FISCAL  YEAR  "&amp;'KEY INPUTS'!D33&amp;"",'KEY INPUTS'!D34)&amp;""</f>
        <v>LIST  OF  BONDS  ISSUED  DURING  2024</v>
      </c>
      <c r="C28" s="1314"/>
      <c r="D28" s="1314"/>
      <c r="E28" s="1314"/>
      <c r="F28" s="1314"/>
      <c r="G28" s="1314"/>
      <c r="H28" s="1314"/>
      <c r="I28" s="1314"/>
      <c r="J28" s="1314"/>
      <c r="K28" s="1314"/>
      <c r="L28" s="1314"/>
    </row>
    <row r="29" spans="2:12" ht="27" customHeight="1" thickTop="1" thickBot="1">
      <c r="B29" s="1179" t="s">
        <v>413</v>
      </c>
      <c r="C29" s="1179"/>
      <c r="D29" s="1179"/>
      <c r="E29" s="1179"/>
      <c r="F29" s="1179"/>
      <c r="G29" s="135" t="str">
        <f>IF('KEY INPUTS'!C42="State Fiscal Year","FY "&amp;'KEY INPUTS'!D33+1&amp;"",'KEY INPUTS'!D34+1)&amp;" Maturity           -01"</f>
        <v>2025 Maturity           -01</v>
      </c>
      <c r="H29" s="1260" t="s">
        <v>79</v>
      </c>
      <c r="I29" s="1284"/>
      <c r="J29" s="1260" t="s">
        <v>89</v>
      </c>
      <c r="K29" s="1284"/>
      <c r="L29" s="611" t="s">
        <v>90</v>
      </c>
    </row>
    <row r="30" spans="2:12" ht="21" customHeight="1" thickTop="1">
      <c r="B30" s="420"/>
      <c r="C30" s="420"/>
      <c r="D30" s="420"/>
      <c r="E30" s="420"/>
      <c r="F30" s="420"/>
      <c r="G30" s="454"/>
      <c r="H30" s="1293"/>
      <c r="I30" s="1294"/>
      <c r="J30" s="1281"/>
      <c r="K30" s="1254"/>
      <c r="L30" s="689"/>
    </row>
    <row r="31" spans="2:12" ht="21" customHeight="1">
      <c r="B31" s="417"/>
      <c r="C31" s="417"/>
      <c r="D31" s="417"/>
      <c r="E31" s="417"/>
      <c r="F31" s="417"/>
      <c r="G31" s="450"/>
      <c r="H31" s="1291"/>
      <c r="I31" s="1292"/>
      <c r="J31" s="1265"/>
      <c r="K31" s="1256"/>
      <c r="L31" s="690"/>
    </row>
    <row r="32" spans="2:12" ht="21" customHeight="1">
      <c r="B32" s="417"/>
      <c r="C32" s="417"/>
      <c r="D32" s="417"/>
      <c r="E32" s="417"/>
      <c r="F32" s="417"/>
      <c r="G32" s="450"/>
      <c r="H32" s="1291"/>
      <c r="I32" s="1292"/>
      <c r="J32" s="1265"/>
      <c r="K32" s="1256"/>
      <c r="L32" s="690"/>
    </row>
    <row r="33" spans="2:12" ht="21" customHeight="1" thickBot="1">
      <c r="B33" s="27"/>
      <c r="C33" s="27"/>
      <c r="D33" s="27"/>
      <c r="E33" s="134" t="s">
        <v>201</v>
      </c>
      <c r="F33" s="41"/>
      <c r="G33" s="129">
        <f>SUM(G30:G32)</f>
        <v>0</v>
      </c>
      <c r="H33" s="1312">
        <f>SUM(H30:I32)</f>
        <v>0</v>
      </c>
      <c r="I33" s="1313"/>
      <c r="J33" s="40"/>
      <c r="K33" s="27"/>
      <c r="L33" s="19"/>
    </row>
    <row r="34" spans="2:12" ht="13.8" thickTop="1">
      <c r="G34" s="54"/>
      <c r="H34" s="54"/>
      <c r="I34" s="54"/>
    </row>
    <row r="35" spans="2:12" ht="7.5" customHeight="1"/>
    <row r="36" spans="2:12" ht="15.6">
      <c r="B36" s="1132" t="str">
        <f>IF('KEY INPUTS'!C42="State Fiscal Year","FISCAL  YEAR  "&amp;'KEY INPUTS'!D33+1&amp;"",'KEY INPUTS'!D34+1)&amp;"  INTEREST  REQUIREMENT  -  CURRENT  FUND  DEBT  ONLY"</f>
        <v>2025  INTEREST  REQUIREMENT  -  CURRENT  FUND  DEBT  ONLY</v>
      </c>
      <c r="C36" s="1132"/>
      <c r="D36" s="1132"/>
      <c r="E36" s="1132"/>
      <c r="F36" s="1132"/>
      <c r="G36" s="1132"/>
      <c r="H36" s="1132"/>
      <c r="I36" s="1132"/>
      <c r="J36" s="1132"/>
      <c r="K36" s="1132"/>
      <c r="L36" s="1132"/>
    </row>
    <row r="37" spans="2:12" ht="9.75" customHeight="1">
      <c r="I37" s="9" t="s">
        <v>198</v>
      </c>
      <c r="J37" s="34"/>
      <c r="K37" s="1310" t="str">
        <f>IF('KEY INPUTS'!C42="State Fiscal Year","FY "&amp;'KEY INPUTS'!D33+1&amp;"",'KEY INPUTS'!D34+1)&amp;" Interest"</f>
        <v>2025 Interest</v>
      </c>
      <c r="L37" s="1310"/>
    </row>
    <row r="38" spans="2:12" ht="9.75" customHeight="1">
      <c r="I38" s="249" t="str">
        <f>IF('KEY INPUTS'!C42 = "State Fiscal Year", 'KEY INPUTS'!F47,'KEY INPUTS'!D47)</f>
        <v>Dec. 31, 2024</v>
      </c>
      <c r="J38" s="34"/>
      <c r="K38" s="1310" t="s">
        <v>129</v>
      </c>
      <c r="L38" s="1310"/>
    </row>
    <row r="40" spans="2:12" ht="20.100000000000001" customHeight="1">
      <c r="C40" s="81" t="s">
        <v>292</v>
      </c>
      <c r="D40" s="96" t="s">
        <v>130</v>
      </c>
      <c r="G40" s="136"/>
      <c r="H40" t="s">
        <v>373</v>
      </c>
      <c r="I40" s="293"/>
      <c r="J40" t="s">
        <v>373</v>
      </c>
      <c r="K40" s="1178"/>
      <c r="L40" s="1178"/>
    </row>
    <row r="41" spans="2:12" ht="20.100000000000001" customHeight="1">
      <c r="C41" s="81" t="s">
        <v>293</v>
      </c>
      <c r="D41" s="96" t="s">
        <v>131</v>
      </c>
      <c r="G41" s="136"/>
      <c r="H41" t="s">
        <v>373</v>
      </c>
      <c r="I41" s="293"/>
      <c r="J41" t="s">
        <v>373</v>
      </c>
      <c r="K41" s="1178"/>
      <c r="L41" s="1178"/>
    </row>
    <row r="42" spans="2:12" ht="20.100000000000001" customHeight="1">
      <c r="C42" s="81" t="s">
        <v>294</v>
      </c>
      <c r="D42" s="96" t="s">
        <v>132</v>
      </c>
      <c r="G42" s="136"/>
      <c r="H42" t="s">
        <v>373</v>
      </c>
      <c r="I42" s="293"/>
      <c r="J42" t="s">
        <v>373</v>
      </c>
      <c r="K42" s="1178"/>
      <c r="L42" s="1178"/>
    </row>
    <row r="43" spans="2:12" ht="20.100000000000001" customHeight="1">
      <c r="C43" s="81" t="s">
        <v>295</v>
      </c>
      <c r="D43" s="96" t="s">
        <v>133</v>
      </c>
      <c r="G43" s="136"/>
      <c r="H43" t="s">
        <v>373</v>
      </c>
      <c r="I43" s="293"/>
      <c r="J43" t="s">
        <v>373</v>
      </c>
      <c r="K43" s="1178"/>
      <c r="L43" s="1178"/>
    </row>
    <row r="44" spans="2:12" ht="20.100000000000001" customHeight="1">
      <c r="C44" s="81" t="s">
        <v>296</v>
      </c>
      <c r="D44" s="292"/>
      <c r="E44" s="292"/>
      <c r="F44" s="292"/>
      <c r="H44" t="s">
        <v>373</v>
      </c>
      <c r="I44" s="293"/>
      <c r="J44" t="s">
        <v>373</v>
      </c>
      <c r="K44" s="1178"/>
      <c r="L44" s="1178"/>
    </row>
    <row r="45" spans="2:12" ht="20.100000000000001" customHeight="1">
      <c r="C45" s="81" t="s">
        <v>297</v>
      </c>
      <c r="D45" s="292"/>
      <c r="E45" s="292"/>
      <c r="F45" s="292"/>
      <c r="H45" t="s">
        <v>373</v>
      </c>
      <c r="I45" s="293"/>
      <c r="J45" t="s">
        <v>373</v>
      </c>
      <c r="K45" s="1178"/>
      <c r="L45" s="1178"/>
    </row>
    <row r="48" spans="2:12" ht="13.8">
      <c r="B48" s="1130" t="s">
        <v>134</v>
      </c>
      <c r="C48" s="1130"/>
      <c r="D48" s="1130"/>
      <c r="E48" s="1130"/>
      <c r="F48" s="1130"/>
      <c r="G48" s="1130"/>
      <c r="H48" s="1130"/>
      <c r="I48" s="1130"/>
      <c r="J48" s="1130"/>
      <c r="K48" s="1130"/>
      <c r="L48" s="1130"/>
    </row>
  </sheetData>
  <sheetProtection algorithmName="SHA-512" hashValue="3WCkljb5/esjgOg8p2oyN3xEmxeleS1UvOW8h1wUzmRV+nXlzKJUXu3Z0pZSlLxqR8NCTy6EeVsGmv/k2npVAw==" saltValue="mT9Ek3p0pwWhiBl7uMjgFg==" spinCount="100000" sheet="1" objects="1" scenarios="1"/>
  <mergeCells count="45">
    <mergeCell ref="B2:L2"/>
    <mergeCell ref="B3:L3"/>
    <mergeCell ref="B4:L4"/>
    <mergeCell ref="J6:L6"/>
    <mergeCell ref="H6:I6"/>
    <mergeCell ref="H11:I11"/>
    <mergeCell ref="H7:I7"/>
    <mergeCell ref="H9:I9"/>
    <mergeCell ref="B28:L28"/>
    <mergeCell ref="H23:I23"/>
    <mergeCell ref="H17:I17"/>
    <mergeCell ref="B15:I15"/>
    <mergeCell ref="H18:I18"/>
    <mergeCell ref="K26:L26"/>
    <mergeCell ref="K24:L24"/>
    <mergeCell ref="K13:L13"/>
    <mergeCell ref="B16:I16"/>
    <mergeCell ref="H10:I10"/>
    <mergeCell ref="H12:I12"/>
    <mergeCell ref="H8:I8"/>
    <mergeCell ref="H21:I21"/>
    <mergeCell ref="H19:I19"/>
    <mergeCell ref="H20:I20"/>
    <mergeCell ref="B36:L36"/>
    <mergeCell ref="K25:L25"/>
    <mergeCell ref="J32:K32"/>
    <mergeCell ref="J30:K30"/>
    <mergeCell ref="J31:K31"/>
    <mergeCell ref="B29:F29"/>
    <mergeCell ref="J29:K29"/>
    <mergeCell ref="H22:I22"/>
    <mergeCell ref="H29:I29"/>
    <mergeCell ref="H30:I30"/>
    <mergeCell ref="H33:I33"/>
    <mergeCell ref="H31:I31"/>
    <mergeCell ref="H32:I32"/>
    <mergeCell ref="K37:L37"/>
    <mergeCell ref="B48:L48"/>
    <mergeCell ref="K45:L45"/>
    <mergeCell ref="K41:L41"/>
    <mergeCell ref="K42:L42"/>
    <mergeCell ref="K43:L43"/>
    <mergeCell ref="K44:L44"/>
    <mergeCell ref="K38:L38"/>
    <mergeCell ref="K40:L40"/>
  </mergeCells>
  <phoneticPr fontId="0" type="noConversion"/>
  <pageMargins left="0.25" right="0.25" top="0.5" bottom="0.5" header="0.25" footer="0.25"/>
  <pageSetup paperSize="5"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34"/>
  <dimension ref="A2:P35"/>
  <sheetViews>
    <sheetView topLeftCell="A8" zoomScaleNormal="100" workbookViewId="0">
      <selection activeCell="L13" sqref="L13"/>
    </sheetView>
  </sheetViews>
  <sheetFormatPr defaultRowHeight="13.2"/>
  <cols>
    <col min="1" max="1" width="5.6640625" customWidth="1"/>
    <col min="2" max="3" width="4.88671875" customWidth="1"/>
    <col min="4" max="4" width="30.6640625" customWidth="1"/>
    <col min="5" max="9" width="15.6640625" customWidth="1"/>
    <col min="10" max="11" width="16.109375" customWidth="1"/>
    <col min="12" max="12" width="15.6640625" customWidth="1"/>
    <col min="13" max="13" width="12.88671875" bestFit="1" customWidth="1"/>
  </cols>
  <sheetData>
    <row r="2" spans="1:16" ht="20.399999999999999">
      <c r="B2" s="1131" t="s">
        <v>135</v>
      </c>
      <c r="C2" s="1131"/>
      <c r="D2" s="1131"/>
      <c r="E2" s="1131"/>
      <c r="F2" s="1131"/>
      <c r="G2" s="1131"/>
      <c r="H2" s="1131"/>
      <c r="I2" s="1131"/>
      <c r="J2" s="1131"/>
      <c r="K2" s="1131"/>
      <c r="L2" s="1131"/>
    </row>
    <row r="3" spans="1:16" ht="21" thickBot="1">
      <c r="B3" s="1131"/>
      <c r="C3" s="1131"/>
      <c r="D3" s="1131"/>
      <c r="E3" s="1131"/>
      <c r="F3" s="1131"/>
      <c r="G3" s="1131"/>
      <c r="H3" s="1131"/>
      <c r="I3" s="1131"/>
      <c r="J3" s="1131"/>
      <c r="K3" s="1131"/>
      <c r="L3" s="1131"/>
    </row>
    <row r="4" spans="1:16" ht="13.5" customHeight="1" thickTop="1">
      <c r="B4" s="11"/>
      <c r="C4" s="11"/>
      <c r="D4" s="11"/>
      <c r="E4" s="12"/>
      <c r="F4" s="12"/>
      <c r="G4" s="12"/>
      <c r="H4" s="12"/>
      <c r="I4" s="12"/>
      <c r="J4" s="11"/>
      <c r="K4" s="11"/>
      <c r="L4" s="18"/>
    </row>
    <row r="5" spans="1:16" ht="13.5" customHeight="1">
      <c r="E5" s="13" t="s">
        <v>139</v>
      </c>
      <c r="F5" s="20" t="s">
        <v>139</v>
      </c>
      <c r="G5" s="20" t="s">
        <v>414</v>
      </c>
      <c r="H5" s="20" t="s">
        <v>17</v>
      </c>
      <c r="I5" s="20" t="s">
        <v>542</v>
      </c>
      <c r="J5" s="1319" t="str">
        <f>IF('KEY INPUTS'!C42="State Fiscal Year","FY "&amp;'KEY INPUTS'!D33+1&amp;"",'KEY INPUTS'!D34+1)&amp;" Budget Requirements"</f>
        <v>2025 Budget Requirements</v>
      </c>
      <c r="K5" s="1320"/>
      <c r="L5" s="21" t="s">
        <v>543</v>
      </c>
    </row>
    <row r="6" spans="1:16" ht="13.5" customHeight="1">
      <c r="C6" s="1174" t="s">
        <v>138</v>
      </c>
      <c r="D6" s="1214"/>
      <c r="E6" s="13" t="s">
        <v>414</v>
      </c>
      <c r="F6" s="20" t="s">
        <v>140</v>
      </c>
      <c r="G6" s="20" t="s">
        <v>539</v>
      </c>
      <c r="H6" s="20" t="s">
        <v>540</v>
      </c>
      <c r="I6" s="20" t="s">
        <v>540</v>
      </c>
      <c r="J6" s="1321"/>
      <c r="K6" s="1322"/>
      <c r="L6" s="21" t="s">
        <v>546</v>
      </c>
    </row>
    <row r="7" spans="1:16" ht="13.5" customHeight="1">
      <c r="E7" s="13" t="s">
        <v>92</v>
      </c>
      <c r="F7" s="13" t="s">
        <v>141</v>
      </c>
      <c r="G7" s="13" t="s">
        <v>198</v>
      </c>
      <c r="H7" s="13" t="s">
        <v>541</v>
      </c>
      <c r="I7" s="13" t="s">
        <v>543</v>
      </c>
      <c r="J7" s="13" t="s">
        <v>113</v>
      </c>
      <c r="K7" s="597" t="s">
        <v>3636</v>
      </c>
      <c r="L7" s="21" t="s">
        <v>547</v>
      </c>
    </row>
    <row r="8" spans="1:16" ht="13.5" customHeight="1" thickBot="1">
      <c r="B8" s="10"/>
      <c r="C8" s="10"/>
      <c r="D8" s="10"/>
      <c r="E8" s="14"/>
      <c r="F8" s="14"/>
      <c r="G8" s="250" t="str">
        <f>IF('KEY INPUTS'!C42 = "State Fiscal Year", 'KEY INPUTS'!F47,'KEY INPUTS'!D47)</f>
        <v>Dec. 31, 2024</v>
      </c>
      <c r="H8" s="14"/>
      <c r="I8" s="14"/>
      <c r="J8" s="16"/>
      <c r="K8" s="141"/>
      <c r="L8" s="19"/>
    </row>
    <row r="9" spans="1:16" ht="21" customHeight="1" thickTop="1">
      <c r="B9" s="1323" t="s">
        <v>3705</v>
      </c>
      <c r="C9" s="1323"/>
      <c r="D9" s="1324"/>
      <c r="E9" s="291">
        <v>150000</v>
      </c>
      <c r="F9" s="459">
        <v>42439</v>
      </c>
      <c r="G9" s="291">
        <v>30000</v>
      </c>
      <c r="H9" s="460">
        <v>45708</v>
      </c>
      <c r="I9" s="693">
        <v>0.05</v>
      </c>
      <c r="J9" s="461">
        <v>3846.15</v>
      </c>
      <c r="K9" s="291">
        <f>G9*I9</f>
        <v>1500</v>
      </c>
      <c r="L9" s="462">
        <v>45708</v>
      </c>
      <c r="M9" s="204"/>
    </row>
    <row r="10" spans="1:16" ht="21" customHeight="1">
      <c r="B10" s="1325" t="s">
        <v>3706</v>
      </c>
      <c r="C10" s="1325"/>
      <c r="D10" s="1326"/>
      <c r="E10" s="291">
        <v>260000</v>
      </c>
      <c r="F10" s="459">
        <v>42439</v>
      </c>
      <c r="G10" s="291">
        <v>52000</v>
      </c>
      <c r="H10" s="460">
        <v>45708</v>
      </c>
      <c r="I10" s="693">
        <v>0.05</v>
      </c>
      <c r="J10" s="461">
        <v>8965.52</v>
      </c>
      <c r="K10" s="291">
        <f>G10*I10</f>
        <v>2600</v>
      </c>
      <c r="L10" s="462">
        <v>45708</v>
      </c>
      <c r="M10" s="204"/>
    </row>
    <row r="11" spans="1:16" ht="21" customHeight="1">
      <c r="B11" s="1325" t="s">
        <v>3707</v>
      </c>
      <c r="C11" s="1325"/>
      <c r="D11" s="1326"/>
      <c r="E11" s="291">
        <v>200000</v>
      </c>
      <c r="F11" s="459">
        <v>42439</v>
      </c>
      <c r="G11" s="291">
        <v>40000</v>
      </c>
      <c r="H11" s="460">
        <v>45708</v>
      </c>
      <c r="I11" s="693">
        <v>0.05</v>
      </c>
      <c r="J11" s="461">
        <v>5128.21</v>
      </c>
      <c r="K11" s="291">
        <f>G11*I11</f>
        <v>2000</v>
      </c>
      <c r="L11" s="462">
        <v>45708</v>
      </c>
      <c r="M11" s="204"/>
    </row>
    <row r="12" spans="1:16" ht="21" customHeight="1">
      <c r="B12" s="1325" t="s">
        <v>3708</v>
      </c>
      <c r="C12" s="1325"/>
      <c r="D12" s="1326"/>
      <c r="E12" s="291">
        <v>200000</v>
      </c>
      <c r="F12" s="459">
        <v>43893</v>
      </c>
      <c r="G12" s="291">
        <v>120000</v>
      </c>
      <c r="H12" s="460">
        <v>45708</v>
      </c>
      <c r="I12" s="693">
        <v>0.05</v>
      </c>
      <c r="J12" s="461">
        <v>5128.21</v>
      </c>
      <c r="K12" s="291">
        <f>I12*G12</f>
        <v>6000</v>
      </c>
      <c r="L12" s="462">
        <v>45708</v>
      </c>
      <c r="M12" s="204"/>
      <c r="P12" s="294"/>
    </row>
    <row r="13" spans="1:16" ht="21" customHeight="1">
      <c r="B13" s="1325"/>
      <c r="C13" s="1325"/>
      <c r="D13" s="1326"/>
      <c r="E13" s="291"/>
      <c r="F13" s="459"/>
      <c r="G13" s="291"/>
      <c r="H13" s="460"/>
      <c r="I13" s="693"/>
      <c r="J13" s="461"/>
      <c r="K13" s="291"/>
      <c r="L13" s="462"/>
      <c r="M13" s="204"/>
    </row>
    <row r="14" spans="1:16" ht="21" customHeight="1">
      <c r="B14" s="1325"/>
      <c r="C14" s="1325"/>
      <c r="D14" s="1326"/>
      <c r="E14" s="291"/>
      <c r="F14" s="459"/>
      <c r="G14" s="291"/>
      <c r="H14" s="460"/>
      <c r="I14" s="693"/>
      <c r="J14" s="291"/>
      <c r="K14" s="291"/>
      <c r="L14" s="462"/>
    </row>
    <row r="15" spans="1:16" ht="21" customHeight="1">
      <c r="A15" s="1195" t="s">
        <v>136</v>
      </c>
      <c r="B15" s="1325"/>
      <c r="C15" s="1325"/>
      <c r="D15" s="1326"/>
      <c r="E15" s="291"/>
      <c r="F15" s="459"/>
      <c r="G15" s="291"/>
      <c r="H15" s="460"/>
      <c r="I15" s="693"/>
      <c r="J15" s="291"/>
      <c r="K15" s="291"/>
      <c r="L15" s="462"/>
    </row>
    <row r="16" spans="1:16" ht="21" customHeight="1">
      <c r="A16" s="1195"/>
      <c r="B16" s="1325"/>
      <c r="C16" s="1325"/>
      <c r="D16" s="1326"/>
      <c r="E16" s="291"/>
      <c r="F16" s="459"/>
      <c r="G16" s="291"/>
      <c r="H16" s="460"/>
      <c r="I16" s="693"/>
      <c r="J16" s="291"/>
      <c r="K16" s="291"/>
      <c r="L16" s="462"/>
    </row>
    <row r="17" spans="1:13" ht="21" customHeight="1">
      <c r="A17" s="1195"/>
      <c r="B17" s="1325"/>
      <c r="C17" s="1325"/>
      <c r="D17" s="1326"/>
      <c r="E17" s="291"/>
      <c r="F17" s="459"/>
      <c r="G17" s="291"/>
      <c r="H17" s="460"/>
      <c r="I17" s="693"/>
      <c r="J17" s="291"/>
      <c r="K17" s="291"/>
      <c r="L17" s="462"/>
    </row>
    <row r="18" spans="1:13" ht="21" customHeight="1">
      <c r="A18" s="130"/>
      <c r="B18" s="1325"/>
      <c r="C18" s="1325"/>
      <c r="D18" s="1326"/>
      <c r="E18" s="291"/>
      <c r="F18" s="459"/>
      <c r="G18" s="291"/>
      <c r="H18" s="460"/>
      <c r="I18" s="693"/>
      <c r="J18" s="291"/>
      <c r="K18" s="291"/>
      <c r="L18" s="462"/>
    </row>
    <row r="19" spans="1:13" ht="21" customHeight="1">
      <c r="B19" s="1325"/>
      <c r="C19" s="1325"/>
      <c r="D19" s="1326"/>
      <c r="E19" s="291"/>
      <c r="F19" s="459"/>
      <c r="G19" s="291"/>
      <c r="H19" s="460"/>
      <c r="I19" s="693"/>
      <c r="J19" s="291"/>
      <c r="K19" s="291"/>
      <c r="L19" s="462"/>
    </row>
    <row r="20" spans="1:13" ht="21" customHeight="1">
      <c r="B20" s="1325"/>
      <c r="C20" s="1325"/>
      <c r="D20" s="1326"/>
      <c r="E20" s="291"/>
      <c r="F20" s="459"/>
      <c r="G20" s="291"/>
      <c r="H20" s="460"/>
      <c r="I20" s="693"/>
      <c r="J20" s="291"/>
      <c r="K20" s="291"/>
      <c r="L20" s="462"/>
    </row>
    <row r="21" spans="1:13" ht="21" customHeight="1">
      <c r="B21" s="1325"/>
      <c r="C21" s="1325"/>
      <c r="D21" s="1326"/>
      <c r="E21" s="291"/>
      <c r="F21" s="459"/>
      <c r="G21" s="291"/>
      <c r="H21" s="463"/>
      <c r="I21" s="693"/>
      <c r="J21" s="291"/>
      <c r="K21" s="291"/>
      <c r="L21" s="462"/>
    </row>
    <row r="22" spans="1:13" ht="21" customHeight="1" thickBot="1">
      <c r="B22" s="1325"/>
      <c r="C22" s="1325"/>
      <c r="D22" s="1326"/>
      <c r="E22" s="464"/>
      <c r="F22" s="947"/>
      <c r="G22" s="464"/>
      <c r="H22" s="948"/>
      <c r="I22" s="694"/>
      <c r="J22" s="464"/>
      <c r="K22" s="464"/>
      <c r="L22" s="949"/>
    </row>
    <row r="23" spans="1:13" ht="21" customHeight="1" thickTop="1" thickBot="1">
      <c r="B23" s="140"/>
      <c r="C23" s="27"/>
      <c r="D23" s="604" t="s">
        <v>3341</v>
      </c>
      <c r="E23" s="75">
        <f>SUM(E9:E22)</f>
        <v>810000</v>
      </c>
      <c r="F23" s="14"/>
      <c r="G23" s="75">
        <f>SUM(G9:G22)</f>
        <v>242000</v>
      </c>
      <c r="H23" s="75"/>
      <c r="I23" s="75"/>
      <c r="J23" s="75">
        <f>SUM(J9:J22)</f>
        <v>23068.09</v>
      </c>
      <c r="K23" s="75">
        <f>SUM(K9:K22)</f>
        <v>12100</v>
      </c>
      <c r="L23" s="19"/>
      <c r="M23" s="228"/>
    </row>
    <row r="24" spans="1:13" ht="13.5" customHeight="1" thickTop="1">
      <c r="B24" s="190" t="s">
        <v>3567</v>
      </c>
      <c r="C24" s="189"/>
      <c r="D24" s="191"/>
      <c r="J24" s="54"/>
      <c r="K24" s="54"/>
    </row>
    <row r="25" spans="1:13" ht="13.5" customHeight="1">
      <c r="B25" s="190" t="s">
        <v>36</v>
      </c>
      <c r="C25" s="189"/>
      <c r="D25" s="191"/>
    </row>
    <row r="26" spans="1:13" ht="13.5" customHeight="1">
      <c r="B26" s="190" t="s">
        <v>3637</v>
      </c>
      <c r="C26" s="189"/>
      <c r="D26" s="191"/>
    </row>
    <row r="27" spans="1:13" ht="13.5" customHeight="1">
      <c r="B27" s="190"/>
      <c r="C27" s="189"/>
      <c r="D27" s="192" t="str">
        <f>"All notes with an original date of issue of "&amp;IF('KEY INPUTS'!C42="State Fiscal Year","FY "&amp;'KEY INPUTS'!D33-2&amp;"",'KEY INPUTS'!D34-2)&amp;" or prior require one legally payable installment to be budgeted if it is contemplated that such notes will be renewed in "&amp;IF('KEY INPUTS'!C42="State Fiscal Year","FY "&amp;'KEY INPUTS'!D33+1&amp;"",'KEY INPUTS'!D34+1)&amp;" or"</f>
        <v>All notes with an original date of issue of 2022 or prior require one legally payable installment to be budgeted if it is contemplated that such notes will be renewed in 2025 or</v>
      </c>
    </row>
    <row r="28" spans="1:13" ht="13.5" customHeight="1">
      <c r="B28" s="190"/>
      <c r="C28" s="189"/>
      <c r="D28" s="192" t="s">
        <v>37</v>
      </c>
      <c r="J28" s="112" t="s">
        <v>98</v>
      </c>
    </row>
    <row r="29" spans="1:13">
      <c r="B29" s="189" t="s">
        <v>38</v>
      </c>
      <c r="C29" s="189"/>
      <c r="D29" s="189"/>
    </row>
    <row r="32" spans="1:13">
      <c r="J32" s="204"/>
    </row>
    <row r="33" spans="7:11">
      <c r="G33" s="204"/>
      <c r="J33" s="204"/>
      <c r="K33" s="227"/>
    </row>
    <row r="35" spans="7:11">
      <c r="K35" s="204"/>
    </row>
  </sheetData>
  <sheetProtection algorithmName="SHA-512" hashValue="0UBxBofTwIi0+dswtIyueUkolLTkNiuESGVXjAKAwybiu+aQxg3hEzEpnenLhtTKoKHqPPdHkgMX1FI2UZ4yrQ==" saltValue="ZOziLiGejYMD/hAkf1lDwA==" spinCount="100000" sheet="1" objects="1" scenarios="1"/>
  <mergeCells count="19">
    <mergeCell ref="B18:D18"/>
    <mergeCell ref="B19:D19"/>
    <mergeCell ref="B20:D20"/>
    <mergeCell ref="B21:D21"/>
    <mergeCell ref="B22:D22"/>
    <mergeCell ref="B2:L2"/>
    <mergeCell ref="B3:L3"/>
    <mergeCell ref="A15:A17"/>
    <mergeCell ref="C6:D6"/>
    <mergeCell ref="J5:K6"/>
    <mergeCell ref="B9:D9"/>
    <mergeCell ref="B10:D10"/>
    <mergeCell ref="B11:D11"/>
    <mergeCell ref="B12:D12"/>
    <mergeCell ref="B13:D13"/>
    <mergeCell ref="B14:D14"/>
    <mergeCell ref="B15:D15"/>
    <mergeCell ref="B16:D16"/>
    <mergeCell ref="B17:D17"/>
  </mergeCells>
  <phoneticPr fontId="0" type="noConversion"/>
  <pageMargins left="0.25" right="0.25" top="0.5" bottom="0.5" header="0.25" footer="0.25"/>
  <pageSetup paperSize="5"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F499A-6845-4F75-9A68-B2F9DB21EA4E}">
  <sheetPr codeName="Sheet135"/>
  <dimension ref="A2:P35"/>
  <sheetViews>
    <sheetView workbookViewId="0">
      <selection activeCell="B27" sqref="B27"/>
    </sheetView>
  </sheetViews>
  <sheetFormatPr defaultColWidth="9.109375" defaultRowHeight="13.2"/>
  <cols>
    <col min="1" max="1" width="5.6640625" customWidth="1"/>
    <col min="2" max="3" width="4.88671875" customWidth="1"/>
    <col min="4" max="4" width="30.6640625" customWidth="1"/>
    <col min="5" max="9" width="15.6640625" customWidth="1"/>
    <col min="10" max="11" width="16.109375" customWidth="1"/>
    <col min="12" max="12" width="15.6640625" customWidth="1"/>
    <col min="13" max="13" width="12.88671875" bestFit="1" customWidth="1"/>
  </cols>
  <sheetData>
    <row r="2" spans="1:16" ht="20.399999999999999">
      <c r="B2" s="1131" t="s">
        <v>135</v>
      </c>
      <c r="C2" s="1131"/>
      <c r="D2" s="1131"/>
      <c r="E2" s="1131"/>
      <c r="F2" s="1131"/>
      <c r="G2" s="1131"/>
      <c r="H2" s="1131"/>
      <c r="I2" s="1131"/>
      <c r="J2" s="1131"/>
      <c r="K2" s="1131"/>
      <c r="L2" s="1131"/>
    </row>
    <row r="3" spans="1:16" ht="21" thickBot="1">
      <c r="B3" s="1131"/>
      <c r="C3" s="1131"/>
      <c r="D3" s="1131"/>
      <c r="E3" s="1131"/>
      <c r="F3" s="1131"/>
      <c r="G3" s="1131"/>
      <c r="H3" s="1131"/>
      <c r="I3" s="1131"/>
      <c r="J3" s="1131"/>
      <c r="K3" s="1131"/>
      <c r="L3" s="1131"/>
    </row>
    <row r="4" spans="1:16" ht="13.5" customHeight="1" thickTop="1">
      <c r="B4" s="11"/>
      <c r="C4" s="11"/>
      <c r="D4" s="11"/>
      <c r="E4" s="12"/>
      <c r="F4" s="12"/>
      <c r="G4" s="12"/>
      <c r="H4" s="12"/>
      <c r="I4" s="12"/>
      <c r="J4" s="11"/>
      <c r="K4" s="11"/>
      <c r="L4" s="18"/>
    </row>
    <row r="5" spans="1:16" ht="13.5" customHeight="1">
      <c r="E5" s="13" t="s">
        <v>139</v>
      </c>
      <c r="F5" s="20" t="s">
        <v>139</v>
      </c>
      <c r="G5" s="20" t="s">
        <v>414</v>
      </c>
      <c r="H5" s="20" t="s">
        <v>17</v>
      </c>
      <c r="I5" s="20" t="s">
        <v>542</v>
      </c>
      <c r="J5" s="1319" t="str">
        <f>IF('KEY INPUTS'!C42="State Fiscal Year","FY "&amp;'KEY INPUTS'!D33+1&amp;"",'KEY INPUTS'!D34+1)&amp;" Budget Requirements"</f>
        <v>2025 Budget Requirements</v>
      </c>
      <c r="K5" s="1320"/>
      <c r="L5" s="21" t="s">
        <v>543</v>
      </c>
    </row>
    <row r="6" spans="1:16" ht="13.5" customHeight="1">
      <c r="C6" s="1174" t="s">
        <v>138</v>
      </c>
      <c r="D6" s="1214"/>
      <c r="E6" s="13" t="s">
        <v>414</v>
      </c>
      <c r="F6" s="20" t="s">
        <v>140</v>
      </c>
      <c r="G6" s="20" t="s">
        <v>539</v>
      </c>
      <c r="H6" s="20" t="s">
        <v>540</v>
      </c>
      <c r="I6" s="20" t="s">
        <v>540</v>
      </c>
      <c r="J6" s="1321"/>
      <c r="K6" s="1322"/>
      <c r="L6" s="21" t="s">
        <v>546</v>
      </c>
    </row>
    <row r="7" spans="1:16" ht="13.5" customHeight="1">
      <c r="E7" s="13" t="s">
        <v>92</v>
      </c>
      <c r="F7" s="13" t="s">
        <v>141</v>
      </c>
      <c r="G7" s="13" t="s">
        <v>198</v>
      </c>
      <c r="H7" s="13" t="s">
        <v>541</v>
      </c>
      <c r="I7" s="13" t="s">
        <v>543</v>
      </c>
      <c r="J7" s="13" t="s">
        <v>113</v>
      </c>
      <c r="K7" s="597" t="s">
        <v>3636</v>
      </c>
      <c r="L7" s="21" t="s">
        <v>547</v>
      </c>
    </row>
    <row r="8" spans="1:16" ht="13.5" customHeight="1" thickBot="1">
      <c r="B8" s="10"/>
      <c r="C8" s="10"/>
      <c r="D8" s="10"/>
      <c r="E8" s="14"/>
      <c r="F8" s="14"/>
      <c r="G8" s="250" t="str">
        <f>'33-Note Debt Service'!G8</f>
        <v>Dec. 31, 2024</v>
      </c>
      <c r="H8" s="14"/>
      <c r="I8" s="14"/>
      <c r="J8" s="16"/>
      <c r="K8" s="141"/>
      <c r="L8" s="19"/>
    </row>
    <row r="9" spans="1:16" ht="21" customHeight="1" thickTop="1">
      <c r="B9" s="82"/>
      <c r="C9" s="263" t="s">
        <v>3263</v>
      </c>
      <c r="D9" s="727"/>
      <c r="E9" s="629">
        <f>+'33-Note Debt Service'!E23</f>
        <v>810000</v>
      </c>
      <c r="F9" s="759"/>
      <c r="G9" s="629">
        <f>+'33-Note Debt Service'!G23</f>
        <v>242000</v>
      </c>
      <c r="H9" s="760"/>
      <c r="I9" s="761"/>
      <c r="J9" s="762">
        <f>+'33-Note Debt Service'!J23</f>
        <v>23068.09</v>
      </c>
      <c r="K9" s="629">
        <f>+'33-Note Debt Service'!K23</f>
        <v>12100</v>
      </c>
      <c r="L9" s="763"/>
      <c r="M9" s="204"/>
    </row>
    <row r="10" spans="1:16" ht="21" customHeight="1">
      <c r="B10" s="83"/>
      <c r="C10" s="614"/>
      <c r="D10" s="720"/>
      <c r="E10" s="291"/>
      <c r="F10" s="459"/>
      <c r="G10" s="291"/>
      <c r="H10" s="460"/>
      <c r="I10" s="693"/>
      <c r="J10" s="461"/>
      <c r="K10" s="291"/>
      <c r="L10" s="462"/>
      <c r="M10" s="204"/>
    </row>
    <row r="11" spans="1:16" ht="21" customHeight="1">
      <c r="B11" s="83"/>
      <c r="C11" s="614"/>
      <c r="D11" s="720"/>
      <c r="E11" s="291"/>
      <c r="F11" s="459"/>
      <c r="G11" s="291"/>
      <c r="H11" s="460"/>
      <c r="I11" s="693"/>
      <c r="J11" s="461"/>
      <c r="K11" s="291"/>
      <c r="L11" s="462"/>
      <c r="M11" s="204"/>
    </row>
    <row r="12" spans="1:16" ht="21" customHeight="1">
      <c r="B12" s="83"/>
      <c r="C12" s="614"/>
      <c r="D12" s="720"/>
      <c r="E12" s="291"/>
      <c r="F12" s="459"/>
      <c r="G12" s="291"/>
      <c r="H12" s="460"/>
      <c r="I12" s="693"/>
      <c r="J12" s="461"/>
      <c r="K12" s="291"/>
      <c r="L12" s="462"/>
      <c r="M12" s="204"/>
      <c r="P12" s="294"/>
    </row>
    <row r="13" spans="1:16" ht="21" customHeight="1">
      <c r="B13" s="83"/>
      <c r="C13" s="614"/>
      <c r="D13" s="720"/>
      <c r="E13" s="291"/>
      <c r="F13" s="459"/>
      <c r="G13" s="291"/>
      <c r="H13" s="460"/>
      <c r="I13" s="693"/>
      <c r="J13" s="461"/>
      <c r="K13" s="291"/>
      <c r="L13" s="462"/>
      <c r="M13" s="204"/>
    </row>
    <row r="14" spans="1:16" ht="21" customHeight="1">
      <c r="B14" s="83"/>
      <c r="C14" s="614"/>
      <c r="D14" s="720"/>
      <c r="E14" s="291"/>
      <c r="F14" s="459"/>
      <c r="G14" s="291"/>
      <c r="H14" s="460"/>
      <c r="I14" s="693"/>
      <c r="J14" s="291"/>
      <c r="K14" s="291"/>
      <c r="L14" s="462"/>
    </row>
    <row r="15" spans="1:16" ht="21" customHeight="1">
      <c r="A15" s="1195" t="s">
        <v>3340</v>
      </c>
      <c r="B15" s="83"/>
      <c r="C15" s="614"/>
      <c r="D15" s="720"/>
      <c r="E15" s="291"/>
      <c r="F15" s="459"/>
      <c r="G15" s="291"/>
      <c r="H15" s="460"/>
      <c r="I15" s="693"/>
      <c r="J15" s="291"/>
      <c r="K15" s="291"/>
      <c r="L15" s="462"/>
    </row>
    <row r="16" spans="1:16" ht="21" customHeight="1">
      <c r="A16" s="1195"/>
      <c r="B16" s="83"/>
      <c r="C16" s="614"/>
      <c r="D16" s="720"/>
      <c r="E16" s="291"/>
      <c r="F16" s="459"/>
      <c r="G16" s="291"/>
      <c r="H16" s="460"/>
      <c r="I16" s="693"/>
      <c r="J16" s="291"/>
      <c r="K16" s="291"/>
      <c r="L16" s="462"/>
    </row>
    <row r="17" spans="1:13" ht="21" customHeight="1">
      <c r="A17" s="1195"/>
      <c r="B17" s="83"/>
      <c r="C17" s="614"/>
      <c r="D17" s="720"/>
      <c r="E17" s="291"/>
      <c r="F17" s="459"/>
      <c r="G17" s="291"/>
      <c r="H17" s="460"/>
      <c r="I17" s="693"/>
      <c r="J17" s="291"/>
      <c r="K17" s="291"/>
      <c r="L17" s="462"/>
    </row>
    <row r="18" spans="1:13" ht="21" customHeight="1">
      <c r="A18" s="130"/>
      <c r="B18" s="83"/>
      <c r="C18" s="614"/>
      <c r="D18" s="720"/>
      <c r="E18" s="291"/>
      <c r="F18" s="459"/>
      <c r="G18" s="291"/>
      <c r="H18" s="460"/>
      <c r="I18" s="693"/>
      <c r="J18" s="291"/>
      <c r="K18" s="291"/>
      <c r="L18" s="462"/>
    </row>
    <row r="19" spans="1:13" ht="21" customHeight="1">
      <c r="B19" s="83"/>
      <c r="C19" s="614"/>
      <c r="D19" s="720"/>
      <c r="E19" s="291"/>
      <c r="F19" s="459"/>
      <c r="G19" s="291"/>
      <c r="H19" s="460"/>
      <c r="I19" s="693"/>
      <c r="J19" s="291"/>
      <c r="K19" s="291"/>
      <c r="L19" s="462"/>
    </row>
    <row r="20" spans="1:13" ht="21" customHeight="1">
      <c r="B20" s="83"/>
      <c r="C20" s="614"/>
      <c r="D20" s="720"/>
      <c r="E20" s="291"/>
      <c r="F20" s="459"/>
      <c r="G20" s="291"/>
      <c r="H20" s="460"/>
      <c r="I20" s="693"/>
      <c r="J20" s="291"/>
      <c r="K20" s="291"/>
      <c r="L20" s="462"/>
    </row>
    <row r="21" spans="1:13" ht="21" customHeight="1">
      <c r="B21" s="83"/>
      <c r="C21" s="614"/>
      <c r="D21" s="720"/>
      <c r="E21" s="291"/>
      <c r="F21" s="459"/>
      <c r="G21" s="291"/>
      <c r="H21" s="463"/>
      <c r="I21" s="693"/>
      <c r="J21" s="291"/>
      <c r="K21" s="291"/>
      <c r="L21" s="462"/>
    </row>
    <row r="22" spans="1:13" ht="21" customHeight="1" thickBot="1">
      <c r="B22" s="83"/>
      <c r="C22" s="614"/>
      <c r="D22" s="720"/>
      <c r="E22" s="464"/>
      <c r="F22" s="947"/>
      <c r="G22" s="464"/>
      <c r="H22" s="948"/>
      <c r="I22" s="694"/>
      <c r="J22" s="464"/>
      <c r="K22" s="464"/>
      <c r="L22" s="949"/>
    </row>
    <row r="23" spans="1:13" ht="21" customHeight="1" thickTop="1" thickBot="1">
      <c r="B23" s="140"/>
      <c r="C23" s="27"/>
      <c r="D23" s="604" t="s">
        <v>3342</v>
      </c>
      <c r="E23" s="75">
        <f>SUM(E9:E22)</f>
        <v>810000</v>
      </c>
      <c r="F23" s="14"/>
      <c r="G23" s="75">
        <f>SUM(G9:G22)</f>
        <v>242000</v>
      </c>
      <c r="H23" s="75"/>
      <c r="I23" s="75"/>
      <c r="J23" s="75">
        <f>SUM(J9:J22)</f>
        <v>23068.09</v>
      </c>
      <c r="K23" s="75">
        <f>SUM(K9:K22)</f>
        <v>12100</v>
      </c>
      <c r="L23" s="19"/>
      <c r="M23" s="228"/>
    </row>
    <row r="24" spans="1:13" ht="13.5" customHeight="1" thickTop="1">
      <c r="B24" s="190" t="s">
        <v>3567</v>
      </c>
      <c r="C24" s="189"/>
      <c r="D24" s="191"/>
      <c r="J24" s="54"/>
      <c r="K24" s="54"/>
    </row>
    <row r="25" spans="1:13" ht="13.5" customHeight="1">
      <c r="B25" s="190" t="s">
        <v>36</v>
      </c>
      <c r="C25" s="189"/>
      <c r="D25" s="191"/>
    </row>
    <row r="26" spans="1:13" ht="13.5" customHeight="1">
      <c r="B26" s="190" t="s">
        <v>3637</v>
      </c>
      <c r="C26" s="189"/>
      <c r="D26" s="191"/>
    </row>
    <row r="27" spans="1:13" ht="13.5" customHeight="1">
      <c r="B27" s="190"/>
      <c r="C27" s="189"/>
      <c r="D27" s="192" t="str">
        <f>"All notes with an original date of issue of "&amp;IF('KEY INPUTS'!C42="State Fiscal Year","FY "&amp;'KEY INPUTS'!D33-2&amp;"",'KEY INPUTS'!D34-2)&amp;" or prior require one legally payable installment to be budgeted if it is contemplated that such notes will be renewed in "&amp;IF('KEY INPUTS'!C42="State Fiscal Year","FY "&amp;'KEY INPUTS'!D33+1&amp;"",'KEY INPUTS'!D34+1)&amp;" or"</f>
        <v>All notes with an original date of issue of 2022 or prior require one legally payable installment to be budgeted if it is contemplated that such notes will be renewed in 2025 or</v>
      </c>
    </row>
    <row r="28" spans="1:13" ht="13.5" customHeight="1">
      <c r="B28" s="190"/>
      <c r="C28" s="189"/>
      <c r="D28" s="192" t="s">
        <v>37</v>
      </c>
      <c r="J28" s="112" t="s">
        <v>98</v>
      </c>
    </row>
    <row r="29" spans="1:13">
      <c r="B29" s="189" t="s">
        <v>38</v>
      </c>
      <c r="C29" s="189"/>
      <c r="D29" s="189"/>
    </row>
    <row r="32" spans="1:13">
      <c r="J32" s="204"/>
    </row>
    <row r="33" spans="7:11">
      <c r="G33" s="204"/>
      <c r="J33" s="204"/>
      <c r="K33" s="227"/>
    </row>
    <row r="35" spans="7:11">
      <c r="K35" s="204"/>
    </row>
  </sheetData>
  <sheetProtection algorithmName="SHA-512" hashValue="y9do6dNsgKFY4Z8kaL+K3bbchH67FH8HQ1Z6QQlpJP5H6OlXNJifSbb4ahgKPiHJa9qnxEkRp4bpOAzYYB097A==" saltValue="Q8KZeUHQELPlNd9AOgV0Dg==" spinCount="100000" sheet="1" objects="1" scenarios="1"/>
  <mergeCells count="5">
    <mergeCell ref="B2:L2"/>
    <mergeCell ref="B3:L3"/>
    <mergeCell ref="J5:K6"/>
    <mergeCell ref="C6:D6"/>
    <mergeCell ref="A15:A17"/>
  </mergeCells>
  <pageMargins left="0.25" right="0.25" top="0.5" bottom="0.5" header="0.25" footer="0.25"/>
  <pageSetup paperSize="5"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062D5-BF54-446B-86CC-581FBAB80E1B}">
  <sheetPr codeName="Sheet136"/>
  <dimension ref="A2:P35"/>
  <sheetViews>
    <sheetView workbookViewId="0">
      <selection activeCell="K8" sqref="K8"/>
    </sheetView>
  </sheetViews>
  <sheetFormatPr defaultColWidth="9.109375" defaultRowHeight="13.2"/>
  <cols>
    <col min="1" max="1" width="5.6640625" customWidth="1"/>
    <col min="2" max="3" width="4.88671875" customWidth="1"/>
    <col min="4" max="4" width="30.6640625" customWidth="1"/>
    <col min="5" max="9" width="15.6640625" customWidth="1"/>
    <col min="10" max="11" width="16.109375" customWidth="1"/>
    <col min="12" max="12" width="15.6640625" customWidth="1"/>
    <col min="13" max="13" width="12.88671875" bestFit="1" customWidth="1"/>
  </cols>
  <sheetData>
    <row r="2" spans="1:16" ht="20.399999999999999">
      <c r="B2" s="1131" t="s">
        <v>135</v>
      </c>
      <c r="C2" s="1131"/>
      <c r="D2" s="1131"/>
      <c r="E2" s="1131"/>
      <c r="F2" s="1131"/>
      <c r="G2" s="1131"/>
      <c r="H2" s="1131"/>
      <c r="I2" s="1131"/>
      <c r="J2" s="1131"/>
      <c r="K2" s="1131"/>
      <c r="L2" s="1131"/>
    </row>
    <row r="3" spans="1:16" ht="21" thickBot="1">
      <c r="B3" s="1131"/>
      <c r="C3" s="1131"/>
      <c r="D3" s="1131"/>
      <c r="E3" s="1131"/>
      <c r="F3" s="1131"/>
      <c r="G3" s="1131"/>
      <c r="H3" s="1131"/>
      <c r="I3" s="1131"/>
      <c r="J3" s="1131"/>
      <c r="K3" s="1131"/>
      <c r="L3" s="1131"/>
    </row>
    <row r="4" spans="1:16" ht="13.5" customHeight="1" thickTop="1">
      <c r="B4" s="11"/>
      <c r="C4" s="11"/>
      <c r="D4" s="11"/>
      <c r="E4" s="12"/>
      <c r="F4" s="12"/>
      <c r="G4" s="12"/>
      <c r="H4" s="12"/>
      <c r="I4" s="12"/>
      <c r="J4" s="11"/>
      <c r="K4" s="11"/>
      <c r="L4" s="18"/>
    </row>
    <row r="5" spans="1:16" ht="13.5" customHeight="1">
      <c r="E5" s="13" t="s">
        <v>139</v>
      </c>
      <c r="F5" s="20" t="s">
        <v>139</v>
      </c>
      <c r="G5" s="20" t="s">
        <v>414</v>
      </c>
      <c r="H5" s="20" t="s">
        <v>17</v>
      </c>
      <c r="I5" s="20" t="s">
        <v>542</v>
      </c>
      <c r="J5" s="1319" t="str">
        <f>IF('KEY INPUTS'!C42="State Fiscal Year","FY "&amp;'KEY INPUTS'!D33+1&amp;"",'KEY INPUTS'!D34+1)&amp;" Budget Requirements"</f>
        <v>2025 Budget Requirements</v>
      </c>
      <c r="K5" s="1320"/>
      <c r="L5" s="21" t="s">
        <v>543</v>
      </c>
    </row>
    <row r="6" spans="1:16" ht="13.5" customHeight="1">
      <c r="C6" s="1174" t="s">
        <v>138</v>
      </c>
      <c r="D6" s="1214"/>
      <c r="E6" s="13" t="s">
        <v>414</v>
      </c>
      <c r="F6" s="20" t="s">
        <v>140</v>
      </c>
      <c r="G6" s="20" t="s">
        <v>539</v>
      </c>
      <c r="H6" s="20" t="s">
        <v>540</v>
      </c>
      <c r="I6" s="20" t="s">
        <v>540</v>
      </c>
      <c r="J6" s="1321"/>
      <c r="K6" s="1322"/>
      <c r="L6" s="21" t="s">
        <v>546</v>
      </c>
    </row>
    <row r="7" spans="1:16" ht="13.5" customHeight="1">
      <c r="E7" s="13" t="s">
        <v>92</v>
      </c>
      <c r="F7" s="13" t="s">
        <v>141</v>
      </c>
      <c r="G7" s="13" t="s">
        <v>198</v>
      </c>
      <c r="H7" s="13" t="s">
        <v>541</v>
      </c>
      <c r="I7" s="13" t="s">
        <v>543</v>
      </c>
      <c r="J7" s="13" t="s">
        <v>113</v>
      </c>
      <c r="K7" s="597" t="s">
        <v>3636</v>
      </c>
      <c r="L7" s="21" t="s">
        <v>547</v>
      </c>
    </row>
    <row r="8" spans="1:16" ht="13.5" customHeight="1" thickBot="1">
      <c r="B8" s="10"/>
      <c r="C8" s="10"/>
      <c r="D8" s="10"/>
      <c r="E8" s="14"/>
      <c r="F8" s="14"/>
      <c r="G8" s="250" t="str">
        <f>'33.1-Note Debt Service'!G8</f>
        <v>Dec. 31, 2024</v>
      </c>
      <c r="H8" s="14"/>
      <c r="I8" s="14"/>
      <c r="J8" s="16"/>
      <c r="K8" s="141"/>
      <c r="L8" s="19"/>
    </row>
    <row r="9" spans="1:16" ht="21" customHeight="1" thickTop="1">
      <c r="B9" s="82"/>
      <c r="C9" s="263" t="s">
        <v>3263</v>
      </c>
      <c r="D9" s="727"/>
      <c r="E9" s="629">
        <f>+'33.1-Note Debt Service'!E23</f>
        <v>810000</v>
      </c>
      <c r="F9" s="759"/>
      <c r="G9" s="629">
        <f>+'33.1-Note Debt Service'!G23</f>
        <v>242000</v>
      </c>
      <c r="H9" s="760"/>
      <c r="I9" s="761"/>
      <c r="J9" s="762">
        <f>+'33.1-Note Debt Service'!J23</f>
        <v>23068.09</v>
      </c>
      <c r="K9" s="629">
        <f>+'33.1-Note Debt Service'!K23</f>
        <v>12100</v>
      </c>
      <c r="L9" s="763"/>
      <c r="M9" s="204"/>
    </row>
    <row r="10" spans="1:16" ht="21" customHeight="1">
      <c r="B10" s="83"/>
      <c r="C10" s="1187"/>
      <c r="D10" s="1188"/>
      <c r="E10" s="291"/>
      <c r="F10" s="459"/>
      <c r="G10" s="291"/>
      <c r="H10" s="460"/>
      <c r="I10" s="693"/>
      <c r="J10" s="461"/>
      <c r="K10" s="291"/>
      <c r="L10" s="462"/>
      <c r="M10" s="204"/>
    </row>
    <row r="11" spans="1:16" ht="21" customHeight="1">
      <c r="B11" s="83"/>
      <c r="C11" s="1187"/>
      <c r="D11" s="1188"/>
      <c r="E11" s="291"/>
      <c r="F11" s="459"/>
      <c r="G11" s="291"/>
      <c r="H11" s="460"/>
      <c r="I11" s="693"/>
      <c r="J11" s="461"/>
      <c r="K11" s="291"/>
      <c r="L11" s="462"/>
      <c r="M11" s="204"/>
    </row>
    <row r="12" spans="1:16" ht="21" customHeight="1">
      <c r="B12" s="83"/>
      <c r="C12" s="1187"/>
      <c r="D12" s="1188"/>
      <c r="E12" s="291"/>
      <c r="F12" s="459"/>
      <c r="G12" s="291"/>
      <c r="H12" s="460"/>
      <c r="I12" s="693"/>
      <c r="J12" s="461"/>
      <c r="K12" s="291"/>
      <c r="L12" s="462"/>
      <c r="M12" s="204"/>
      <c r="P12" s="294"/>
    </row>
    <row r="13" spans="1:16" ht="21" customHeight="1">
      <c r="B13" s="83"/>
      <c r="C13" s="1187"/>
      <c r="D13" s="1188"/>
      <c r="E13" s="291"/>
      <c r="F13" s="459"/>
      <c r="G13" s="291"/>
      <c r="H13" s="460"/>
      <c r="I13" s="693"/>
      <c r="J13" s="461"/>
      <c r="K13" s="291"/>
      <c r="L13" s="462"/>
      <c r="M13" s="204"/>
    </row>
    <row r="14" spans="1:16" ht="21" customHeight="1">
      <c r="B14" s="83"/>
      <c r="C14" s="1187"/>
      <c r="D14" s="1188"/>
      <c r="E14" s="291"/>
      <c r="F14" s="459"/>
      <c r="G14" s="291"/>
      <c r="H14" s="460"/>
      <c r="I14" s="693"/>
      <c r="J14" s="291"/>
      <c r="K14" s="291"/>
      <c r="L14" s="462"/>
    </row>
    <row r="15" spans="1:16" ht="21" customHeight="1">
      <c r="A15" s="1195" t="s">
        <v>3343</v>
      </c>
      <c r="B15" s="83"/>
      <c r="C15" s="1187"/>
      <c r="D15" s="1188"/>
      <c r="E15" s="291"/>
      <c r="F15" s="459"/>
      <c r="G15" s="291"/>
      <c r="H15" s="460"/>
      <c r="I15" s="693"/>
      <c r="J15" s="291"/>
      <c r="K15" s="291"/>
      <c r="L15" s="462"/>
    </row>
    <row r="16" spans="1:16" ht="21" customHeight="1">
      <c r="A16" s="1195"/>
      <c r="B16" s="83"/>
      <c r="C16" s="1187"/>
      <c r="D16" s="1188"/>
      <c r="E16" s="291"/>
      <c r="F16" s="459"/>
      <c r="G16" s="291"/>
      <c r="H16" s="460"/>
      <c r="I16" s="693"/>
      <c r="J16" s="291"/>
      <c r="K16" s="291"/>
      <c r="L16" s="462"/>
    </row>
    <row r="17" spans="1:13" ht="21" customHeight="1">
      <c r="A17" s="1195"/>
      <c r="B17" s="83"/>
      <c r="C17" s="1187"/>
      <c r="D17" s="1188"/>
      <c r="E17" s="291"/>
      <c r="F17" s="459"/>
      <c r="G17" s="291"/>
      <c r="H17" s="460"/>
      <c r="I17" s="693"/>
      <c r="J17" s="291"/>
      <c r="K17" s="291"/>
      <c r="L17" s="462"/>
    </row>
    <row r="18" spans="1:13" ht="21" customHeight="1">
      <c r="A18" s="130"/>
      <c r="B18" s="83"/>
      <c r="C18" s="1187"/>
      <c r="D18" s="1188"/>
      <c r="E18" s="291"/>
      <c r="F18" s="459"/>
      <c r="G18" s="291"/>
      <c r="H18" s="460"/>
      <c r="I18" s="693"/>
      <c r="J18" s="291"/>
      <c r="K18" s="291"/>
      <c r="L18" s="462"/>
    </row>
    <row r="19" spans="1:13" ht="21" customHeight="1">
      <c r="B19" s="83"/>
      <c r="C19" s="1187"/>
      <c r="D19" s="1188"/>
      <c r="E19" s="291"/>
      <c r="F19" s="459"/>
      <c r="G19" s="291"/>
      <c r="H19" s="460"/>
      <c r="I19" s="693"/>
      <c r="J19" s="291"/>
      <c r="K19" s="291"/>
      <c r="L19" s="462"/>
    </row>
    <row r="20" spans="1:13" ht="21" customHeight="1">
      <c r="B20" s="83"/>
      <c r="C20" s="1187"/>
      <c r="D20" s="1188"/>
      <c r="E20" s="291"/>
      <c r="F20" s="459"/>
      <c r="G20" s="291"/>
      <c r="H20" s="460"/>
      <c r="I20" s="693"/>
      <c r="J20" s="291"/>
      <c r="K20" s="291"/>
      <c r="L20" s="462"/>
    </row>
    <row r="21" spans="1:13" ht="21" customHeight="1">
      <c r="B21" s="83"/>
      <c r="C21" s="1187"/>
      <c r="D21" s="1188"/>
      <c r="E21" s="291"/>
      <c r="F21" s="459"/>
      <c r="G21" s="291"/>
      <c r="H21" s="463"/>
      <c r="I21" s="693"/>
      <c r="J21" s="291"/>
      <c r="K21" s="291"/>
      <c r="L21" s="462"/>
    </row>
    <row r="22" spans="1:13" ht="21" customHeight="1" thickBot="1">
      <c r="B22" s="83"/>
      <c r="C22" s="1187"/>
      <c r="D22" s="1188"/>
      <c r="E22" s="464"/>
      <c r="F22" s="947"/>
      <c r="G22" s="464"/>
      <c r="H22" s="948"/>
      <c r="I22" s="694"/>
      <c r="J22" s="464"/>
      <c r="K22" s="464"/>
      <c r="L22" s="949"/>
    </row>
    <row r="23" spans="1:13" ht="21" customHeight="1" thickTop="1" thickBot="1">
      <c r="B23" s="140"/>
      <c r="C23" s="27"/>
      <c r="D23" s="604" t="s">
        <v>3342</v>
      </c>
      <c r="E23" s="75">
        <f>SUM(E9:E22)</f>
        <v>810000</v>
      </c>
      <c r="F23" s="14"/>
      <c r="G23" s="75">
        <f>SUM(G9:G22)</f>
        <v>242000</v>
      </c>
      <c r="H23" s="75"/>
      <c r="I23" s="75"/>
      <c r="J23" s="75">
        <f>SUM(J9:J22)</f>
        <v>23068.09</v>
      </c>
      <c r="K23" s="75">
        <f>SUM(K9:K22)</f>
        <v>12100</v>
      </c>
      <c r="L23" s="19"/>
      <c r="M23" s="228"/>
    </row>
    <row r="24" spans="1:13" ht="13.5" customHeight="1" thickTop="1">
      <c r="B24" s="190" t="s">
        <v>3567</v>
      </c>
      <c r="C24" s="189"/>
      <c r="D24" s="191"/>
      <c r="J24" s="54"/>
      <c r="K24" s="54"/>
    </row>
    <row r="25" spans="1:13" ht="13.5" customHeight="1">
      <c r="B25" s="190" t="s">
        <v>36</v>
      </c>
      <c r="C25" s="189"/>
      <c r="D25" s="191"/>
    </row>
    <row r="26" spans="1:13" ht="13.5" customHeight="1">
      <c r="B26" s="190" t="s">
        <v>3637</v>
      </c>
      <c r="C26" s="189"/>
      <c r="D26" s="191"/>
    </row>
    <row r="27" spans="1:13" ht="13.5" customHeight="1">
      <c r="B27" s="190"/>
      <c r="C27" s="189"/>
      <c r="D27" s="192" t="str">
        <f>"All notes with an original date of issue of "&amp;IF('KEY INPUTS'!C42="State Fiscal Year","FY "&amp;'KEY INPUTS'!D33-2&amp;"",'KEY INPUTS'!D34-2)&amp;" or prior require one legally payable installment to be budgeted if it is contemplated that such notes will be renewed in "&amp;IF('KEY INPUTS'!C42="State Fiscal Year","FY "&amp;'KEY INPUTS'!D33+1&amp;"",'KEY INPUTS'!D34+1)&amp;" or"</f>
        <v>All notes with an original date of issue of 2022 or prior require one legally payable installment to be budgeted if it is contemplated that such notes will be renewed in 2025 or</v>
      </c>
    </row>
    <row r="28" spans="1:13" ht="13.5" customHeight="1">
      <c r="B28" s="190"/>
      <c r="C28" s="189"/>
      <c r="D28" s="192" t="s">
        <v>37</v>
      </c>
      <c r="J28" s="112" t="s">
        <v>98</v>
      </c>
    </row>
    <row r="29" spans="1:13">
      <c r="B29" s="189" t="s">
        <v>38</v>
      </c>
      <c r="C29" s="189"/>
      <c r="D29" s="189"/>
    </row>
    <row r="32" spans="1:13">
      <c r="J32" s="204"/>
    </row>
    <row r="33" spans="7:11">
      <c r="G33" s="204"/>
      <c r="J33" s="204"/>
      <c r="K33" s="227"/>
    </row>
    <row r="35" spans="7:11">
      <c r="K35" s="204"/>
    </row>
  </sheetData>
  <sheetProtection algorithmName="SHA-512" hashValue="1hGXW2J/fhgA57qPX/hcAVULKwVkKYyb6F5FI9KdKxnQXdRy7GWIWLS1ERGcwWz4mxKR0ahABMeH6XyxAF+9ww==" saltValue="cM41eWcZBvVbJ/6fNMiNzA==" spinCount="100000" sheet="1" objects="1" scenarios="1"/>
  <mergeCells count="18">
    <mergeCell ref="C18:D18"/>
    <mergeCell ref="C19:D19"/>
    <mergeCell ref="C20:D20"/>
    <mergeCell ref="C21:D21"/>
    <mergeCell ref="C22:D22"/>
    <mergeCell ref="B2:L2"/>
    <mergeCell ref="B3:L3"/>
    <mergeCell ref="J5:K6"/>
    <mergeCell ref="C6:D6"/>
    <mergeCell ref="A15:A17"/>
    <mergeCell ref="C10:D10"/>
    <mergeCell ref="C11:D11"/>
    <mergeCell ref="C12:D12"/>
    <mergeCell ref="C13:D13"/>
    <mergeCell ref="C14:D14"/>
    <mergeCell ref="C15:D15"/>
    <mergeCell ref="C16:D16"/>
    <mergeCell ref="C17:D17"/>
  </mergeCells>
  <pageMargins left="0.25" right="0.25" top="0.5" bottom="0.5" header="0.25" footer="0.25"/>
  <pageSetup paperSize="5"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37"/>
  <dimension ref="A2:O29"/>
  <sheetViews>
    <sheetView zoomScaleNormal="100" workbookViewId="0">
      <selection activeCell="J15" sqref="J15"/>
    </sheetView>
  </sheetViews>
  <sheetFormatPr defaultRowHeight="13.2"/>
  <cols>
    <col min="1" max="1" width="5.6640625" customWidth="1"/>
    <col min="2" max="3" width="4.88671875" customWidth="1"/>
    <col min="4" max="4" width="30.6640625" customWidth="1"/>
    <col min="5" max="9" width="15.6640625" customWidth="1"/>
    <col min="10" max="11" width="16.109375" customWidth="1"/>
    <col min="12" max="12" width="15.6640625" customWidth="1"/>
  </cols>
  <sheetData>
    <row r="2" spans="1:15" ht="20.399999999999999">
      <c r="B2" s="1131" t="s">
        <v>512</v>
      </c>
      <c r="C2" s="1131"/>
      <c r="D2" s="1131"/>
      <c r="E2" s="1131"/>
      <c r="F2" s="1131"/>
      <c r="G2" s="1131"/>
      <c r="H2" s="1131"/>
      <c r="I2" s="1131"/>
      <c r="J2" s="1131"/>
      <c r="K2" s="1131"/>
      <c r="L2" s="1131"/>
    </row>
    <row r="3" spans="1:15" ht="21" thickBot="1">
      <c r="B3" s="1131"/>
      <c r="C3" s="1131"/>
      <c r="D3" s="1131"/>
      <c r="E3" s="1131"/>
      <c r="F3" s="1131"/>
      <c r="G3" s="1131"/>
      <c r="H3" s="1131"/>
      <c r="I3" s="1131"/>
      <c r="J3" s="1131"/>
      <c r="K3" s="1131"/>
      <c r="L3" s="1131"/>
    </row>
    <row r="4" spans="1:15" ht="13.5" customHeight="1" thickTop="1">
      <c r="B4" s="11"/>
      <c r="C4" s="11"/>
      <c r="D4" s="11"/>
      <c r="E4" s="12"/>
      <c r="F4" s="12"/>
      <c r="G4" s="12"/>
      <c r="H4" s="12"/>
      <c r="I4" s="12"/>
      <c r="J4" s="11"/>
      <c r="K4" s="11"/>
      <c r="L4" s="18"/>
    </row>
    <row r="5" spans="1:15" ht="13.5" customHeight="1">
      <c r="E5" s="13" t="s">
        <v>139</v>
      </c>
      <c r="F5" s="20" t="s">
        <v>139</v>
      </c>
      <c r="G5" s="20" t="s">
        <v>414</v>
      </c>
      <c r="H5" s="20" t="s">
        <v>17</v>
      </c>
      <c r="I5" s="20" t="s">
        <v>542</v>
      </c>
      <c r="J5" s="1319" t="str">
        <f>'33-Note Debt Service'!J5:K6</f>
        <v>2025 Budget Requirements</v>
      </c>
      <c r="K5" s="1320"/>
      <c r="L5" s="21" t="s">
        <v>543</v>
      </c>
    </row>
    <row r="6" spans="1:15" ht="13.5" customHeight="1">
      <c r="C6" s="1174" t="s">
        <v>138</v>
      </c>
      <c r="D6" s="1214"/>
      <c r="E6" s="13" t="s">
        <v>414</v>
      </c>
      <c r="F6" s="20" t="s">
        <v>140</v>
      </c>
      <c r="G6" s="20" t="s">
        <v>539</v>
      </c>
      <c r="H6" s="20" t="s">
        <v>540</v>
      </c>
      <c r="I6" s="20" t="s">
        <v>540</v>
      </c>
      <c r="J6" s="1321"/>
      <c r="K6" s="1322"/>
      <c r="L6" s="21" t="s">
        <v>546</v>
      </c>
    </row>
    <row r="7" spans="1:15" ht="13.5" customHeight="1">
      <c r="E7" s="13" t="s">
        <v>92</v>
      </c>
      <c r="F7" s="13" t="s">
        <v>141</v>
      </c>
      <c r="G7" s="13" t="s">
        <v>198</v>
      </c>
      <c r="H7" s="13" t="s">
        <v>541</v>
      </c>
      <c r="I7" s="13" t="s">
        <v>543</v>
      </c>
      <c r="J7" s="13" t="s">
        <v>113</v>
      </c>
      <c r="K7" s="597" t="s">
        <v>3636</v>
      </c>
      <c r="L7" s="21" t="s">
        <v>547</v>
      </c>
    </row>
    <row r="8" spans="1:15" ht="13.5" customHeight="1" thickBot="1">
      <c r="B8" s="10"/>
      <c r="C8" s="10"/>
      <c r="D8" s="10"/>
      <c r="E8" s="14"/>
      <c r="F8" s="14"/>
      <c r="G8" s="250" t="str">
        <f>'33 Totals-Note Debt Service'!G8</f>
        <v>Dec. 31, 2024</v>
      </c>
      <c r="H8" s="14"/>
      <c r="I8" s="14"/>
      <c r="J8" s="16"/>
      <c r="K8" s="141"/>
      <c r="L8" s="19"/>
    </row>
    <row r="9" spans="1:15" ht="21" customHeight="1" thickTop="1">
      <c r="B9" s="82" t="s">
        <v>292</v>
      </c>
      <c r="C9" s="1327"/>
      <c r="D9" s="1328"/>
      <c r="E9" s="466"/>
      <c r="F9" s="467"/>
      <c r="G9" s="466"/>
      <c r="H9" s="466"/>
      <c r="I9" s="695"/>
      <c r="J9" s="466"/>
      <c r="K9" s="466"/>
      <c r="L9" s="469"/>
    </row>
    <row r="10" spans="1:15" ht="21" customHeight="1">
      <c r="B10" s="83" t="s">
        <v>293</v>
      </c>
      <c r="C10" s="1187"/>
      <c r="D10" s="1188"/>
      <c r="E10" s="450"/>
      <c r="F10" s="470"/>
      <c r="G10" s="450"/>
      <c r="H10" s="450"/>
      <c r="I10" s="696"/>
      <c r="J10" s="450"/>
      <c r="K10" s="450"/>
      <c r="L10" s="472"/>
    </row>
    <row r="11" spans="1:15" ht="21" customHeight="1">
      <c r="B11" s="83" t="s">
        <v>294</v>
      </c>
      <c r="C11" s="1187"/>
      <c r="D11" s="1188"/>
      <c r="E11" s="450"/>
      <c r="F11" s="470"/>
      <c r="G11" s="450"/>
      <c r="H11" s="450"/>
      <c r="I11" s="696"/>
      <c r="J11" s="450"/>
      <c r="K11" s="450"/>
      <c r="L11" s="472"/>
      <c r="O11" s="294"/>
    </row>
    <row r="12" spans="1:15" ht="21" customHeight="1">
      <c r="B12" s="83" t="s">
        <v>295</v>
      </c>
      <c r="C12" s="1187"/>
      <c r="D12" s="1188"/>
      <c r="E12" s="450"/>
      <c r="F12" s="470"/>
      <c r="G12" s="450"/>
      <c r="H12" s="450"/>
      <c r="I12" s="696"/>
      <c r="J12" s="450"/>
      <c r="K12" s="450"/>
      <c r="L12" s="472"/>
    </row>
    <row r="13" spans="1:15" ht="21" customHeight="1">
      <c r="B13" s="83" t="s">
        <v>296</v>
      </c>
      <c r="C13" s="1187"/>
      <c r="D13" s="1188"/>
      <c r="E13" s="450"/>
      <c r="F13" s="470"/>
      <c r="G13" s="450"/>
      <c r="H13" s="450"/>
      <c r="I13" s="696"/>
      <c r="J13" s="450"/>
      <c r="K13" s="450"/>
      <c r="L13" s="472"/>
    </row>
    <row r="14" spans="1:15" ht="21" customHeight="1">
      <c r="B14" s="83" t="s">
        <v>297</v>
      </c>
      <c r="C14" s="1187"/>
      <c r="D14" s="1188"/>
      <c r="E14" s="453"/>
      <c r="F14" s="473"/>
      <c r="G14" s="453"/>
      <c r="H14" s="453"/>
      <c r="I14" s="697"/>
      <c r="J14" s="450"/>
      <c r="K14" s="450"/>
      <c r="L14" s="472"/>
    </row>
    <row r="15" spans="1:15" ht="21" customHeight="1">
      <c r="A15" s="1195" t="s">
        <v>548</v>
      </c>
      <c r="B15" s="83" t="s">
        <v>298</v>
      </c>
      <c r="C15" s="1187"/>
      <c r="D15" s="1188"/>
      <c r="E15" s="450"/>
      <c r="F15" s="470"/>
      <c r="G15" s="450"/>
      <c r="H15" s="450"/>
      <c r="I15" s="696"/>
      <c r="J15" s="450"/>
      <c r="K15" s="450"/>
      <c r="L15" s="472"/>
    </row>
    <row r="16" spans="1:15" ht="21" customHeight="1">
      <c r="A16" s="1195"/>
      <c r="B16" s="83" t="s">
        <v>384</v>
      </c>
      <c r="C16" s="1187"/>
      <c r="D16" s="1188"/>
      <c r="E16" s="450"/>
      <c r="F16" s="470"/>
      <c r="G16" s="450"/>
      <c r="H16" s="450"/>
      <c r="I16" s="696"/>
      <c r="J16" s="450"/>
      <c r="K16" s="450"/>
      <c r="L16" s="472"/>
    </row>
    <row r="17" spans="1:12" ht="21" customHeight="1">
      <c r="A17" s="1195"/>
      <c r="B17" s="83" t="s">
        <v>385</v>
      </c>
      <c r="C17" s="1187"/>
      <c r="D17" s="1188"/>
      <c r="E17" s="450"/>
      <c r="F17" s="470"/>
      <c r="G17" s="450"/>
      <c r="H17" s="450"/>
      <c r="I17" s="696"/>
      <c r="J17" s="450"/>
      <c r="K17" s="450"/>
      <c r="L17" s="472"/>
    </row>
    <row r="18" spans="1:12" ht="21" customHeight="1">
      <c r="A18" s="130"/>
      <c r="B18" s="83" t="s">
        <v>386</v>
      </c>
      <c r="C18" s="1187"/>
      <c r="D18" s="1188"/>
      <c r="E18" s="450"/>
      <c r="F18" s="470"/>
      <c r="G18" s="450"/>
      <c r="H18" s="450"/>
      <c r="I18" s="696"/>
      <c r="J18" s="450"/>
      <c r="K18" s="450"/>
      <c r="L18" s="472"/>
    </row>
    <row r="19" spans="1:12" ht="21" customHeight="1">
      <c r="B19" s="83" t="s">
        <v>223</v>
      </c>
      <c r="C19" s="1187"/>
      <c r="D19" s="1188"/>
      <c r="E19" s="450"/>
      <c r="F19" s="470"/>
      <c r="G19" s="450"/>
      <c r="H19" s="450"/>
      <c r="I19" s="696"/>
      <c r="J19" s="450"/>
      <c r="K19" s="450"/>
      <c r="L19" s="472"/>
    </row>
    <row r="20" spans="1:12" ht="21" customHeight="1">
      <c r="B20" s="83" t="s">
        <v>225</v>
      </c>
      <c r="C20" s="1187"/>
      <c r="D20" s="1188"/>
      <c r="E20" s="450"/>
      <c r="F20" s="470"/>
      <c r="G20" s="450"/>
      <c r="H20" s="450"/>
      <c r="I20" s="696"/>
      <c r="J20" s="450"/>
      <c r="K20" s="450"/>
      <c r="L20" s="472"/>
    </row>
    <row r="21" spans="1:12" ht="21" customHeight="1">
      <c r="B21" s="83" t="s">
        <v>226</v>
      </c>
      <c r="C21" s="1187"/>
      <c r="D21" s="1188"/>
      <c r="E21" s="450"/>
      <c r="F21" s="470"/>
      <c r="G21" s="450"/>
      <c r="H21" s="450"/>
      <c r="I21" s="696"/>
      <c r="J21" s="450"/>
      <c r="K21" s="450"/>
      <c r="L21" s="472"/>
    </row>
    <row r="22" spans="1:12" ht="21" customHeight="1" thickBot="1">
      <c r="B22" s="83" t="s">
        <v>564</v>
      </c>
      <c r="C22" s="1187"/>
      <c r="D22" s="1188"/>
      <c r="E22" s="475"/>
      <c r="F22" s="465"/>
      <c r="G22" s="475"/>
      <c r="H22" s="475"/>
      <c r="I22" s="698"/>
      <c r="J22" s="475"/>
      <c r="K22" s="475"/>
      <c r="L22" s="476"/>
    </row>
    <row r="23" spans="1:12" ht="21" customHeight="1" thickTop="1" thickBot="1">
      <c r="B23" s="140"/>
      <c r="C23" s="27"/>
      <c r="D23" s="73" t="s">
        <v>137</v>
      </c>
      <c r="E23" s="129"/>
      <c r="F23" s="14"/>
      <c r="G23" s="129">
        <f>SUM(G9:G22)</f>
        <v>0</v>
      </c>
      <c r="H23" s="129">
        <f>SUM(H9:H22)</f>
        <v>0</v>
      </c>
      <c r="I23" s="129"/>
      <c r="J23" s="129">
        <f>SUM(J9:J22)</f>
        <v>0</v>
      </c>
      <c r="K23" s="129">
        <f>SUM(K9:K22)</f>
        <v>0</v>
      </c>
      <c r="L23" s="19"/>
    </row>
    <row r="24" spans="1:12" ht="13.5" customHeight="1" thickTop="1">
      <c r="B24" s="144" t="s">
        <v>3638</v>
      </c>
      <c r="C24" s="34"/>
      <c r="D24" s="142"/>
      <c r="J24" s="54"/>
      <c r="K24" s="54"/>
    </row>
    <row r="25" spans="1:12" ht="13.5" customHeight="1">
      <c r="B25" s="144"/>
      <c r="C25" s="34" t="str">
        <f>"Assessment Notes with an original date of issue of "&amp;IF('KEY INPUTS'!C42="State Fiscal Year","FY "&amp;'KEY INPUTS'!D33-2&amp;"",'KEY INPUTS'!D34-2)&amp;" or prior must be appropriated in full in the "&amp;IF('KEY INPUTS'!C42="State Fiscal Year","FY "&amp;'KEY INPUTS'!D33+1&amp;"",'KEY INPUTS'!D34+1)&amp;" Dedicated Assessment Budget or written intent of permanent financing"</f>
        <v>Assessment Notes with an original date of issue of 2022 or prior must be appropriated in full in the 2025 Dedicated Assessment Budget or written intent of permanent financing</v>
      </c>
      <c r="D25" s="142"/>
    </row>
    <row r="26" spans="1:12" ht="13.5" customHeight="1">
      <c r="B26" s="144"/>
      <c r="C26" s="34"/>
      <c r="D26" s="8" t="s">
        <v>550</v>
      </c>
    </row>
    <row r="27" spans="1:12" ht="13.5" customHeight="1">
      <c r="B27" s="144"/>
      <c r="C27" s="34" t="s">
        <v>3639</v>
      </c>
      <c r="D27" s="142"/>
    </row>
    <row r="28" spans="1:12" ht="13.5" customHeight="1">
      <c r="B28" s="144"/>
      <c r="C28" s="34"/>
      <c r="D28" s="142"/>
      <c r="J28" s="112" t="s">
        <v>98</v>
      </c>
    </row>
    <row r="29" spans="1:12">
      <c r="B29" s="8"/>
      <c r="C29" s="34"/>
      <c r="D29" s="34"/>
    </row>
  </sheetData>
  <sheetProtection algorithmName="SHA-512" hashValue="n3THRjsvhEaNgfDjtrYJf3DzcaJ1Di+o503HZsqKlIvPOeAWcudzJv1akQXtCdSG8+4MRJRBlUandswIucMX7w==" saltValue="Erakri26xUkf0y7ZM3X5Ig==" spinCount="100000" sheet="1" objects="1" scenarios="1"/>
  <mergeCells count="19">
    <mergeCell ref="C18:D18"/>
    <mergeCell ref="C19:D19"/>
    <mergeCell ref="C20:D20"/>
    <mergeCell ref="C21:D21"/>
    <mergeCell ref="C22:D22"/>
    <mergeCell ref="B2:L2"/>
    <mergeCell ref="B3:L3"/>
    <mergeCell ref="A15:A17"/>
    <mergeCell ref="C6:D6"/>
    <mergeCell ref="J5:K6"/>
    <mergeCell ref="C9:D9"/>
    <mergeCell ref="C10:D10"/>
    <mergeCell ref="C11:D11"/>
    <mergeCell ref="C12:D12"/>
    <mergeCell ref="C13:D13"/>
    <mergeCell ref="C14:D14"/>
    <mergeCell ref="C15:D15"/>
    <mergeCell ref="C16:D16"/>
    <mergeCell ref="C17:D17"/>
  </mergeCells>
  <phoneticPr fontId="0" type="noConversion"/>
  <pageMargins left="0.25" right="0.25" top="0.5" bottom="0.5" header="0.25" footer="0.25"/>
  <pageSetup paperSize="5"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38"/>
  <dimension ref="A2:L27"/>
  <sheetViews>
    <sheetView workbookViewId="0">
      <selection activeCell="H14" sqref="H14"/>
    </sheetView>
  </sheetViews>
  <sheetFormatPr defaultRowHeight="13.2"/>
  <cols>
    <col min="1" max="1" width="5.6640625" customWidth="1"/>
    <col min="2" max="3" width="4.88671875" customWidth="1"/>
    <col min="4" max="4" width="30.6640625" customWidth="1"/>
    <col min="5" max="6" width="15.6640625" customWidth="1"/>
    <col min="7" max="9" width="30.6640625" customWidth="1"/>
  </cols>
  <sheetData>
    <row r="2" spans="1:12" ht="20.399999999999999">
      <c r="B2" s="1131" t="s">
        <v>429</v>
      </c>
      <c r="C2" s="1131"/>
      <c r="D2" s="1131"/>
      <c r="E2" s="1131"/>
      <c r="F2" s="1131"/>
      <c r="G2" s="1131"/>
      <c r="H2" s="1131"/>
      <c r="I2" s="1131"/>
    </row>
    <row r="3" spans="1:12" ht="21" thickBot="1">
      <c r="B3" s="1131"/>
      <c r="C3" s="1131"/>
      <c r="D3" s="1131"/>
      <c r="E3" s="1131"/>
      <c r="F3" s="1131"/>
      <c r="G3" s="1131"/>
      <c r="H3" s="1131"/>
      <c r="I3" s="1131"/>
    </row>
    <row r="4" spans="1:12" ht="13.5" customHeight="1" thickTop="1">
      <c r="B4" s="11"/>
      <c r="C4" s="11"/>
      <c r="D4" s="11"/>
      <c r="E4" s="51"/>
      <c r="F4" s="715"/>
      <c r="G4" s="715"/>
      <c r="H4" s="11"/>
      <c r="I4" s="178"/>
    </row>
    <row r="5" spans="1:12" ht="13.5" customHeight="1">
      <c r="E5" s="1"/>
      <c r="F5" s="1"/>
      <c r="G5" s="20" t="s">
        <v>414</v>
      </c>
      <c r="H5" s="1319" t="str">
        <f>'34-Assmt Note Debt Service'!J5</f>
        <v>2025 Budget Requirements</v>
      </c>
      <c r="I5" s="1329"/>
    </row>
    <row r="6" spans="1:12" ht="13.5" customHeight="1">
      <c r="C6" s="1174" t="s">
        <v>413</v>
      </c>
      <c r="D6" s="1174"/>
      <c r="E6" s="1"/>
      <c r="F6" s="1"/>
      <c r="G6" s="20" t="s">
        <v>430</v>
      </c>
      <c r="H6" s="1321"/>
      <c r="I6" s="1330"/>
    </row>
    <row r="7" spans="1:12" ht="13.5" customHeight="1">
      <c r="E7" s="1"/>
      <c r="F7" s="714"/>
      <c r="G7" s="251" t="str">
        <f>'34-Assmt Note Debt Service'!G8</f>
        <v>Dec. 31, 2024</v>
      </c>
      <c r="H7" s="13" t="s">
        <v>113</v>
      </c>
      <c r="I7" s="21" t="s">
        <v>431</v>
      </c>
    </row>
    <row r="8" spans="1:12" ht="13.5" customHeight="1" thickBot="1">
      <c r="B8" s="10"/>
      <c r="C8" s="10"/>
      <c r="D8" s="10"/>
      <c r="E8" s="10"/>
      <c r="F8" s="153"/>
      <c r="G8" s="220"/>
      <c r="H8" s="16"/>
      <c r="I8" s="145"/>
    </row>
    <row r="9" spans="1:12" ht="21" customHeight="1" thickTop="1">
      <c r="B9" s="82" t="s">
        <v>292</v>
      </c>
      <c r="C9" s="1327"/>
      <c r="D9" s="1327"/>
      <c r="E9" s="1327"/>
      <c r="F9" s="1328"/>
      <c r="G9" s="477"/>
      <c r="H9" s="466"/>
      <c r="I9" s="478"/>
    </row>
    <row r="10" spans="1:12" ht="21" customHeight="1">
      <c r="B10" s="83" t="s">
        <v>293</v>
      </c>
      <c r="C10" s="1187"/>
      <c r="D10" s="1187"/>
      <c r="E10" s="1187"/>
      <c r="F10" s="1188"/>
      <c r="G10" s="479"/>
      <c r="H10" s="450"/>
      <c r="I10" s="451"/>
    </row>
    <row r="11" spans="1:12" ht="21" customHeight="1">
      <c r="B11" s="83" t="s">
        <v>294</v>
      </c>
      <c r="C11" s="1187"/>
      <c r="D11" s="1187"/>
      <c r="E11" s="1187"/>
      <c r="F11" s="1188"/>
      <c r="G11" s="479"/>
      <c r="H11" s="450"/>
      <c r="I11" s="451"/>
      <c r="L11" s="294"/>
    </row>
    <row r="12" spans="1:12" ht="21" customHeight="1">
      <c r="B12" s="83" t="s">
        <v>295</v>
      </c>
      <c r="C12" s="1187"/>
      <c r="D12" s="1187"/>
      <c r="E12" s="1187"/>
      <c r="F12" s="1188"/>
      <c r="G12" s="479"/>
      <c r="H12" s="450"/>
      <c r="I12" s="451"/>
    </row>
    <row r="13" spans="1:12" ht="21" customHeight="1">
      <c r="B13" s="83" t="s">
        <v>296</v>
      </c>
      <c r="C13" s="1187"/>
      <c r="D13" s="1187"/>
      <c r="E13" s="1187"/>
      <c r="F13" s="1188"/>
      <c r="G13" s="479"/>
      <c r="H13" s="450"/>
      <c r="I13" s="451"/>
    </row>
    <row r="14" spans="1:12" ht="21" customHeight="1">
      <c r="B14" s="83" t="s">
        <v>297</v>
      </c>
      <c r="C14" s="1187"/>
      <c r="D14" s="1187"/>
      <c r="E14" s="1187"/>
      <c r="F14" s="1188"/>
      <c r="G14" s="480"/>
      <c r="H14" s="450"/>
      <c r="I14" s="451"/>
    </row>
    <row r="15" spans="1:12" ht="21" customHeight="1">
      <c r="A15" s="1195" t="s">
        <v>640</v>
      </c>
      <c r="B15" s="83" t="s">
        <v>298</v>
      </c>
      <c r="C15" s="1187"/>
      <c r="D15" s="1187"/>
      <c r="E15" s="1187"/>
      <c r="F15" s="1188"/>
      <c r="G15" s="479"/>
      <c r="H15" s="450"/>
      <c r="I15" s="451"/>
    </row>
    <row r="16" spans="1:12" ht="21" customHeight="1">
      <c r="A16" s="1195"/>
      <c r="B16" s="83" t="s">
        <v>384</v>
      </c>
      <c r="C16" s="1187"/>
      <c r="D16" s="1187"/>
      <c r="E16" s="1187"/>
      <c r="F16" s="1188"/>
      <c r="G16" s="479"/>
      <c r="H16" s="450"/>
      <c r="I16" s="451"/>
    </row>
    <row r="17" spans="1:9" ht="21" customHeight="1">
      <c r="A17" s="1195"/>
      <c r="B17" s="83" t="s">
        <v>385</v>
      </c>
      <c r="C17" s="1187"/>
      <c r="D17" s="1187"/>
      <c r="E17" s="1187"/>
      <c r="F17" s="1188"/>
      <c r="G17" s="479"/>
      <c r="H17" s="450"/>
      <c r="I17" s="451"/>
    </row>
    <row r="18" spans="1:9" ht="21" customHeight="1">
      <c r="A18" s="130"/>
      <c r="B18" s="83" t="s">
        <v>386</v>
      </c>
      <c r="C18" s="1187"/>
      <c r="D18" s="1187"/>
      <c r="E18" s="1187"/>
      <c r="F18" s="1188"/>
      <c r="G18" s="479"/>
      <c r="H18" s="450"/>
      <c r="I18" s="451"/>
    </row>
    <row r="19" spans="1:9" ht="21" customHeight="1">
      <c r="B19" s="83" t="s">
        <v>223</v>
      </c>
      <c r="C19" s="1187"/>
      <c r="D19" s="1187"/>
      <c r="E19" s="1187"/>
      <c r="F19" s="1188"/>
      <c r="G19" s="479"/>
      <c r="H19" s="450"/>
      <c r="I19" s="451"/>
    </row>
    <row r="20" spans="1:9" ht="21" customHeight="1">
      <c r="B20" s="83" t="s">
        <v>225</v>
      </c>
      <c r="C20" s="1187"/>
      <c r="D20" s="1187"/>
      <c r="E20" s="1187"/>
      <c r="F20" s="1188"/>
      <c r="G20" s="479"/>
      <c r="H20" s="450"/>
      <c r="I20" s="451"/>
    </row>
    <row r="21" spans="1:9" ht="21" customHeight="1">
      <c r="B21" s="83" t="s">
        <v>226</v>
      </c>
      <c r="C21" s="1187"/>
      <c r="D21" s="1187"/>
      <c r="E21" s="1187"/>
      <c r="F21" s="1188"/>
      <c r="G21" s="479"/>
      <c r="H21" s="450"/>
      <c r="I21" s="451"/>
    </row>
    <row r="22" spans="1:9" ht="21" customHeight="1" thickBot="1">
      <c r="B22" s="83" t="s">
        <v>564</v>
      </c>
      <c r="C22" s="1187"/>
      <c r="D22" s="1187"/>
      <c r="E22" s="1187"/>
      <c r="F22" s="1188"/>
      <c r="G22" s="481"/>
      <c r="H22" s="475"/>
      <c r="I22" s="482"/>
    </row>
    <row r="23" spans="1:9" ht="21" customHeight="1" thickTop="1" thickBot="1">
      <c r="B23" s="140"/>
      <c r="C23" s="27"/>
      <c r="D23" s="131" t="s">
        <v>137</v>
      </c>
      <c r="E23" s="117"/>
      <c r="F23" s="153"/>
      <c r="G23" s="221">
        <f>SUM(G9:G22)</f>
        <v>0</v>
      </c>
      <c r="H23" s="129">
        <f>SUM(H9:H22)</f>
        <v>0</v>
      </c>
      <c r="I23" s="146">
        <f>SUM(I9:I22)</f>
        <v>0</v>
      </c>
    </row>
    <row r="24" spans="1:9" ht="13.5" customHeight="1" thickTop="1">
      <c r="B24" s="144"/>
      <c r="C24" s="34"/>
      <c r="D24" s="142"/>
      <c r="H24" s="54"/>
      <c r="I24" s="54"/>
    </row>
    <row r="25" spans="1:9" ht="13.5" customHeight="1">
      <c r="B25" s="144"/>
      <c r="C25" s="34"/>
      <c r="D25" s="142"/>
    </row>
    <row r="26" spans="1:9" ht="13.5" customHeight="1">
      <c r="B26" s="144"/>
      <c r="C26" s="34"/>
      <c r="D26" s="142"/>
      <c r="H26" s="112" t="s">
        <v>98</v>
      </c>
    </row>
    <row r="27" spans="1:9">
      <c r="B27" s="8"/>
      <c r="C27" s="34"/>
      <c r="D27" s="34"/>
    </row>
  </sheetData>
  <sheetProtection algorithmName="SHA-512" hashValue="KWYboxaXYZwq3o/N+P9sG7JFFhnwJbk3PFsUYOQoQvhIzw46etpVhk2Nv8fMKQSeCCk5/xHWo47qjO401pogqg==" saltValue="vAISXGav4Iu9ZEliFpuWGw==" spinCount="100000" sheet="1" objects="1" scenarios="1"/>
  <mergeCells count="19">
    <mergeCell ref="C18:F18"/>
    <mergeCell ref="C19:F19"/>
    <mergeCell ref="C20:F20"/>
    <mergeCell ref="C21:F21"/>
    <mergeCell ref="C22:F22"/>
    <mergeCell ref="B2:I2"/>
    <mergeCell ref="B3:I3"/>
    <mergeCell ref="A15:A17"/>
    <mergeCell ref="C6:D6"/>
    <mergeCell ref="H5:I6"/>
    <mergeCell ref="C9:F9"/>
    <mergeCell ref="C10:F10"/>
    <mergeCell ref="C11:F11"/>
    <mergeCell ref="C12:F12"/>
    <mergeCell ref="C13:F13"/>
    <mergeCell ref="C14:F14"/>
    <mergeCell ref="C15:F15"/>
    <mergeCell ref="C16:F16"/>
    <mergeCell ref="C17:F17"/>
  </mergeCells>
  <phoneticPr fontId="0" type="noConversion"/>
  <pageMargins left="0.25" right="0.25" top="0.5" bottom="0.5" header="0.25" footer="0.25"/>
  <pageSetup paperSize="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fitToPage="1"/>
  </sheetPr>
  <dimension ref="B3:J48"/>
  <sheetViews>
    <sheetView topLeftCell="A10" zoomScaleNormal="100" workbookViewId="0">
      <selection activeCell="G16" sqref="G16"/>
    </sheetView>
  </sheetViews>
  <sheetFormatPr defaultRowHeight="13.2"/>
  <cols>
    <col min="1" max="1" width="4.6640625" customWidth="1"/>
    <col min="2" max="2" width="4.88671875" customWidth="1"/>
    <col min="3" max="4" width="4.6640625" customWidth="1"/>
    <col min="5" max="5" width="30.88671875" customWidth="1"/>
    <col min="6" max="6" width="15.6640625" customWidth="1"/>
    <col min="7" max="8" width="18.6640625" bestFit="1" customWidth="1"/>
    <col min="9" max="9" width="12.109375" bestFit="1" customWidth="1"/>
  </cols>
  <sheetData>
    <row r="3" spans="2:10" ht="22.8">
      <c r="B3" s="1176" t="s">
        <v>105</v>
      </c>
      <c r="C3" s="1176"/>
      <c r="D3" s="1176"/>
      <c r="E3" s="1176"/>
      <c r="F3" s="1176"/>
      <c r="G3" s="1176"/>
      <c r="H3" s="1176"/>
    </row>
    <row r="4" spans="2:10" ht="22.8">
      <c r="B4" s="1176" t="s">
        <v>106</v>
      </c>
      <c r="C4" s="1176"/>
      <c r="D4" s="1176"/>
      <c r="E4" s="1176"/>
      <c r="F4" s="1176"/>
      <c r="G4" s="1176"/>
      <c r="H4" s="1176"/>
    </row>
    <row r="5" spans="2:10" ht="12.75" customHeight="1">
      <c r="B5" s="2"/>
      <c r="C5" s="2"/>
      <c r="D5" s="2"/>
      <c r="E5" s="2"/>
      <c r="F5" s="2"/>
      <c r="G5" s="2"/>
      <c r="H5" s="2"/>
    </row>
    <row r="6" spans="2:10" ht="15.6">
      <c r="B6" s="1182" t="str">
        <f>IF('KEY INPUTS'!C42 = "State Fiscal Year", 'KEY INPUTS'!F45,'KEY INPUTS'!D45)</f>
        <v>AS  AT  DECEMBER  31, 2024</v>
      </c>
      <c r="C6" s="1132"/>
      <c r="D6" s="1132"/>
      <c r="E6" s="1132"/>
      <c r="F6" s="1132"/>
      <c r="G6" s="1132"/>
      <c r="H6" s="1132"/>
    </row>
    <row r="7" spans="2:10" ht="13.8" thickBot="1"/>
    <row r="8" spans="2:10" ht="36" customHeight="1" thickTop="1" thickBot="1">
      <c r="B8" s="1179" t="s">
        <v>95</v>
      </c>
      <c r="C8" s="1179"/>
      <c r="D8" s="1179"/>
      <c r="E8" s="1179"/>
      <c r="F8" s="1180"/>
      <c r="G8" s="4" t="s">
        <v>96</v>
      </c>
      <c r="H8" s="3" t="s">
        <v>97</v>
      </c>
    </row>
    <row r="9" spans="2:10" ht="21" customHeight="1" thickTop="1">
      <c r="G9" s="154"/>
      <c r="H9" s="61"/>
    </row>
    <row r="10" spans="2:10" ht="21" customHeight="1">
      <c r="B10" s="5"/>
      <c r="C10" s="263" t="s">
        <v>351</v>
      </c>
      <c r="D10" s="5"/>
      <c r="E10" s="5"/>
      <c r="F10" s="5"/>
      <c r="G10" s="64">
        <f>+'9-Cash Reconciliation'!I7</f>
        <v>0</v>
      </c>
      <c r="H10" s="65"/>
    </row>
    <row r="11" spans="2:10" ht="21" customHeight="1">
      <c r="B11" s="5"/>
      <c r="C11" s="5" t="s">
        <v>555</v>
      </c>
      <c r="D11" s="5"/>
      <c r="E11" s="5"/>
      <c r="F11" s="5"/>
      <c r="G11" s="64">
        <f>'10 Totals Grants Receivable'!K27</f>
        <v>0</v>
      </c>
      <c r="H11" s="429"/>
      <c r="I11" s="204"/>
      <c r="J11" s="294"/>
    </row>
    <row r="12" spans="2:10" ht="21" customHeight="1">
      <c r="B12" s="5"/>
      <c r="C12" s="418" t="s">
        <v>3745</v>
      </c>
      <c r="D12" s="417"/>
      <c r="E12" s="417"/>
      <c r="F12" s="417"/>
      <c r="G12" s="291">
        <f>736114.32-107828.96</f>
        <v>628285.36</v>
      </c>
      <c r="H12" s="429"/>
    </row>
    <row r="13" spans="2:10" ht="21" customHeight="1">
      <c r="B13" s="5"/>
      <c r="C13" s="417" t="s">
        <v>3742</v>
      </c>
      <c r="D13" s="417"/>
      <c r="E13" s="417"/>
      <c r="F13" s="417"/>
      <c r="G13" s="291"/>
      <c r="H13" s="429">
        <v>312525.46000000002</v>
      </c>
    </row>
    <row r="14" spans="2:10" ht="21" customHeight="1">
      <c r="B14" s="5"/>
      <c r="C14" s="418" t="s">
        <v>3761</v>
      </c>
      <c r="D14" s="417"/>
      <c r="E14" s="417"/>
      <c r="F14" s="417"/>
      <c r="G14" s="291"/>
      <c r="H14" s="429">
        <v>113613.4</v>
      </c>
    </row>
    <row r="15" spans="2:10" ht="21" customHeight="1">
      <c r="B15" s="5"/>
      <c r="C15" s="417"/>
      <c r="D15" s="417"/>
      <c r="E15" s="417"/>
      <c r="F15" s="417"/>
      <c r="G15" s="291"/>
      <c r="H15" s="429"/>
    </row>
    <row r="16" spans="2:10" ht="21" customHeight="1">
      <c r="B16" s="5"/>
      <c r="C16" s="417"/>
      <c r="D16" s="417"/>
      <c r="E16" s="417"/>
      <c r="F16" s="417"/>
      <c r="G16" s="291"/>
      <c r="H16" s="429"/>
    </row>
    <row r="17" spans="2:9" ht="21" customHeight="1">
      <c r="B17" s="5"/>
      <c r="C17" s="417"/>
      <c r="D17" s="417"/>
      <c r="E17" s="417"/>
      <c r="F17" s="417"/>
      <c r="G17" s="291"/>
      <c r="H17" s="429"/>
    </row>
    <row r="18" spans="2:9" ht="21" customHeight="1">
      <c r="B18" s="5"/>
      <c r="C18" s="417"/>
      <c r="D18" s="417"/>
      <c r="E18" s="417"/>
      <c r="F18" s="417"/>
      <c r="G18" s="291"/>
      <c r="H18" s="429"/>
    </row>
    <row r="19" spans="2:9" ht="21" customHeight="1">
      <c r="B19" s="5"/>
      <c r="C19" s="417"/>
      <c r="D19" s="417"/>
      <c r="E19" s="417"/>
      <c r="F19" s="417"/>
      <c r="G19" s="291"/>
      <c r="H19" s="429"/>
      <c r="I19" s="204"/>
    </row>
    <row r="20" spans="2:9" ht="21" customHeight="1">
      <c r="B20" s="5"/>
      <c r="C20" s="417"/>
      <c r="D20" s="417"/>
      <c r="E20" s="417"/>
      <c r="F20" s="417"/>
      <c r="G20" s="291"/>
      <c r="H20" s="429"/>
    </row>
    <row r="21" spans="2:9" ht="21" customHeight="1">
      <c r="B21" s="5"/>
      <c r="C21" s="417" t="s">
        <v>128</v>
      </c>
      <c r="D21" s="417"/>
      <c r="E21" s="417"/>
      <c r="F21" s="417"/>
      <c r="G21" s="291"/>
      <c r="H21" s="429"/>
      <c r="I21" s="204"/>
    </row>
    <row r="22" spans="2:9" ht="21" customHeight="1">
      <c r="B22" s="5"/>
      <c r="C22" s="417"/>
      <c r="D22" s="417"/>
      <c r="E22" s="417"/>
      <c r="F22" s="417"/>
      <c r="G22" s="291"/>
      <c r="H22" s="429"/>
    </row>
    <row r="23" spans="2:9" ht="21" customHeight="1">
      <c r="B23" s="5"/>
      <c r="C23" s="417"/>
      <c r="D23" s="417"/>
      <c r="E23" s="417"/>
      <c r="F23" s="417"/>
      <c r="G23" s="291"/>
      <c r="H23" s="429"/>
      <c r="I23" s="204"/>
    </row>
    <row r="24" spans="2:9" ht="21" customHeight="1">
      <c r="B24" s="5"/>
      <c r="C24" s="417" t="s">
        <v>794</v>
      </c>
      <c r="D24" s="417"/>
      <c r="E24" s="417"/>
      <c r="F24" s="417"/>
      <c r="G24" s="291"/>
      <c r="H24" s="429"/>
      <c r="I24" s="204"/>
    </row>
    <row r="25" spans="2:9" ht="21" customHeight="1">
      <c r="B25" s="5"/>
      <c r="C25" s="417"/>
      <c r="D25" s="417"/>
      <c r="E25" s="417"/>
      <c r="F25" s="417"/>
      <c r="G25" s="291"/>
      <c r="H25" s="429"/>
      <c r="I25" s="204"/>
    </row>
    <row r="26" spans="2:9" ht="21" customHeight="1">
      <c r="B26" s="5"/>
      <c r="C26" s="417"/>
      <c r="D26" s="417"/>
      <c r="E26" s="417"/>
      <c r="F26" s="417"/>
      <c r="G26" s="291"/>
      <c r="H26" s="429"/>
      <c r="I26" s="204"/>
    </row>
    <row r="27" spans="2:9" ht="21" customHeight="1">
      <c r="B27" s="5"/>
      <c r="C27" s="417"/>
      <c r="D27" s="417"/>
      <c r="E27" s="417"/>
      <c r="F27" s="417"/>
      <c r="G27" s="291"/>
      <c r="H27" s="429"/>
      <c r="I27" s="204"/>
    </row>
    <row r="28" spans="2:9" ht="21" customHeight="1">
      <c r="B28" s="5"/>
      <c r="C28" s="417"/>
      <c r="D28" s="417"/>
      <c r="E28" s="417"/>
      <c r="F28" s="417"/>
      <c r="G28" s="291"/>
      <c r="H28" s="429"/>
      <c r="I28" s="204"/>
    </row>
    <row r="29" spans="2:9" ht="21" customHeight="1">
      <c r="B29" s="5"/>
      <c r="C29" s="418" t="s">
        <v>3742</v>
      </c>
      <c r="D29" s="417"/>
      <c r="E29" s="417"/>
      <c r="F29" s="417"/>
      <c r="G29" s="291"/>
      <c r="H29" s="429"/>
      <c r="I29" s="204"/>
    </row>
    <row r="30" spans="2:9" ht="21" customHeight="1">
      <c r="B30" s="5"/>
      <c r="C30" s="418" t="s">
        <v>3774</v>
      </c>
      <c r="D30" s="417"/>
      <c r="E30" s="417"/>
      <c r="F30" s="417"/>
      <c r="G30" s="291"/>
      <c r="H30" s="429"/>
      <c r="I30" s="204"/>
    </row>
    <row r="31" spans="2:9" ht="21" customHeight="1">
      <c r="B31" s="5"/>
      <c r="C31" s="417"/>
      <c r="D31" s="417"/>
      <c r="E31" s="417"/>
      <c r="F31" s="417"/>
      <c r="G31" s="291"/>
      <c r="H31" s="429"/>
    </row>
    <row r="32" spans="2:9" ht="21" customHeight="1">
      <c r="B32" s="5"/>
      <c r="C32" s="417"/>
      <c r="D32" s="417"/>
      <c r="E32" s="417"/>
      <c r="F32" s="417"/>
      <c r="G32" s="291"/>
      <c r="H32" s="429"/>
    </row>
    <row r="33" spans="2:9" ht="21" customHeight="1">
      <c r="B33" s="5"/>
      <c r="C33" s="5" t="s">
        <v>284</v>
      </c>
      <c r="D33" s="5"/>
      <c r="E33" s="5"/>
      <c r="F33" s="5"/>
      <c r="G33" s="291"/>
      <c r="H33" s="509">
        <f>+'11- Totals Grants Approp Rsrv'!L27</f>
        <v>195583.27000000002</v>
      </c>
      <c r="I33" s="552"/>
    </row>
    <row r="34" spans="2:9" ht="21" customHeight="1">
      <c r="B34" s="5"/>
      <c r="C34" s="5" t="s">
        <v>556</v>
      </c>
      <c r="D34" s="5"/>
      <c r="E34" s="5"/>
      <c r="F34" s="5"/>
      <c r="G34" s="291"/>
      <c r="H34" s="509">
        <f>+'12 Total-Grants Unappropriated'!K27</f>
        <v>6563.2300000000005</v>
      </c>
      <c r="I34" s="552"/>
    </row>
    <row r="35" spans="2:9" ht="21" customHeight="1" thickBot="1">
      <c r="B35" s="5"/>
      <c r="C35" s="5"/>
      <c r="D35" s="5"/>
      <c r="E35" s="5"/>
      <c r="F35" s="5"/>
      <c r="G35" s="127"/>
      <c r="H35" s="69"/>
    </row>
    <row r="36" spans="2:9" ht="21" customHeight="1" thickBot="1">
      <c r="B36" s="5"/>
      <c r="C36" s="5"/>
      <c r="D36" s="5" t="s">
        <v>798</v>
      </c>
      <c r="E36" s="5"/>
      <c r="F36" s="5"/>
      <c r="G36" s="216">
        <f>SUM(G9:G35)</f>
        <v>628285.36</v>
      </c>
      <c r="H36" s="217">
        <f>SUM(H9:H35)</f>
        <v>628285.36</v>
      </c>
      <c r="I36" s="204"/>
    </row>
    <row r="37" spans="2:9" ht="21" customHeight="1" thickTop="1">
      <c r="B37" s="5"/>
      <c r="C37" s="5"/>
      <c r="D37" s="5"/>
      <c r="E37" s="5"/>
      <c r="F37" s="5"/>
      <c r="G37" s="62"/>
      <c r="H37" s="63"/>
      <c r="I37" s="204"/>
    </row>
    <row r="38" spans="2:9" ht="21" customHeight="1">
      <c r="B38" s="5"/>
      <c r="C38" s="5"/>
      <c r="D38" s="5"/>
      <c r="E38" s="5"/>
      <c r="F38" s="5"/>
      <c r="G38" s="64"/>
      <c r="H38" s="65"/>
    </row>
    <row r="39" spans="2:9" ht="21" customHeight="1">
      <c r="B39" s="5"/>
      <c r="C39" s="5"/>
      <c r="D39" s="5"/>
      <c r="E39" s="5"/>
      <c r="F39" s="5"/>
      <c r="G39" s="64"/>
      <c r="H39" s="65"/>
    </row>
    <row r="40" spans="2:9" ht="21" customHeight="1">
      <c r="B40" s="5"/>
      <c r="C40" s="5"/>
      <c r="D40" s="5"/>
      <c r="E40" s="5"/>
      <c r="F40" s="5"/>
      <c r="G40" s="64"/>
      <c r="H40" s="65"/>
    </row>
    <row r="41" spans="2:9" ht="21" customHeight="1">
      <c r="B41" s="5"/>
      <c r="C41" s="5"/>
      <c r="D41" s="5"/>
      <c r="E41" s="5"/>
      <c r="F41" s="5"/>
      <c r="G41" s="64"/>
      <c r="H41" s="65"/>
    </row>
    <row r="42" spans="2:9" ht="21" customHeight="1">
      <c r="B42" s="5"/>
      <c r="C42" s="5"/>
      <c r="D42" s="5"/>
      <c r="E42" s="5"/>
      <c r="F42" s="5"/>
      <c r="G42" s="64"/>
      <c r="H42" s="65"/>
    </row>
    <row r="43" spans="2:9" ht="21" customHeight="1">
      <c r="B43" s="5"/>
      <c r="C43" s="5"/>
      <c r="D43" s="5"/>
      <c r="E43" s="5"/>
      <c r="F43" s="5"/>
      <c r="G43" s="64"/>
      <c r="H43" s="65"/>
    </row>
    <row r="44" spans="2:9" ht="21" customHeight="1">
      <c r="B44" s="5"/>
      <c r="C44" s="5"/>
      <c r="D44" s="5"/>
      <c r="E44" s="5"/>
      <c r="F44" s="5"/>
      <c r="G44" s="64"/>
      <c r="H44" s="65"/>
    </row>
    <row r="45" spans="2:9">
      <c r="B45" s="1158" t="s">
        <v>98</v>
      </c>
      <c r="C45" s="1158"/>
      <c r="D45" s="1158"/>
      <c r="E45" s="1158"/>
      <c r="F45" s="1158"/>
      <c r="G45" s="1158"/>
      <c r="H45" s="1158"/>
    </row>
    <row r="46" spans="2:9">
      <c r="B46" s="1"/>
      <c r="C46" s="1"/>
      <c r="D46" s="1"/>
      <c r="E46" s="1"/>
      <c r="F46" s="1"/>
      <c r="G46" s="1"/>
      <c r="H46" s="1"/>
    </row>
    <row r="48" spans="2:9" ht="13.8">
      <c r="B48" s="1130" t="s">
        <v>478</v>
      </c>
      <c r="C48" s="1130"/>
      <c r="D48" s="1130"/>
      <c r="E48" s="1130"/>
      <c r="F48" s="1130"/>
      <c r="G48" s="1130"/>
      <c r="H48" s="1130"/>
    </row>
  </sheetData>
  <sheetProtection algorithmName="SHA-512" hashValue="Y+ETW9NRkPOpD3JPx5jvDWJ1WLJOKyZYEV5GhCzsB13DosF1JjfJHo1RbMrZTXcbbHApmPPqyLAyTV9RTFO01A==" saltValue="jgXYPjmLFrNZI5F8W9R7Zw==" spinCount="100000" sheet="1" objects="1" scenarios="1"/>
  <mergeCells count="6">
    <mergeCell ref="B8:F8"/>
    <mergeCell ref="B45:H45"/>
    <mergeCell ref="B48:H48"/>
    <mergeCell ref="B3:H3"/>
    <mergeCell ref="B4:H4"/>
    <mergeCell ref="B6:H6"/>
  </mergeCells>
  <phoneticPr fontId="0" type="noConversion"/>
  <pageMargins left="0.25" right="0.25" top="0.5" bottom="0.5" header="0.25" footer="0.25"/>
  <pageSetup scale="76"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39"/>
  <dimension ref="A1:O33"/>
  <sheetViews>
    <sheetView topLeftCell="A9" zoomScaleNormal="100" workbookViewId="0">
      <selection activeCell="B28" sqref="B28"/>
    </sheetView>
  </sheetViews>
  <sheetFormatPr defaultRowHeight="13.2"/>
  <cols>
    <col min="1" max="1" width="3.6640625" customWidth="1"/>
    <col min="2" max="2" width="5.109375" customWidth="1"/>
    <col min="3" max="3" width="4.88671875" customWidth="1"/>
    <col min="4" max="4" width="35.6640625" customWidth="1"/>
    <col min="5" max="12" width="15.6640625" customWidth="1"/>
  </cols>
  <sheetData>
    <row r="1" spans="2:15" ht="8.25" customHeight="1"/>
    <row r="2" spans="2:15" ht="20.399999999999999">
      <c r="B2" s="1131" t="s">
        <v>513</v>
      </c>
      <c r="C2" s="1131"/>
      <c r="D2" s="1131"/>
      <c r="E2" s="1131"/>
      <c r="F2" s="1131"/>
      <c r="G2" s="1131"/>
      <c r="H2" s="1131"/>
      <c r="I2" s="1131"/>
      <c r="J2" s="1131"/>
      <c r="K2" s="1131"/>
      <c r="L2" s="1131"/>
    </row>
    <row r="3" spans="2:15" ht="9.75" customHeight="1" thickBot="1">
      <c r="B3" s="1131"/>
      <c r="C3" s="1131"/>
      <c r="D3" s="1131"/>
      <c r="E3" s="1131"/>
      <c r="F3" s="1131"/>
      <c r="G3" s="1131"/>
      <c r="H3" s="1131"/>
      <c r="I3" s="1131"/>
      <c r="J3" s="1131"/>
      <c r="K3" s="1131"/>
      <c r="L3" s="1131"/>
    </row>
    <row r="4" spans="2:15" ht="13.5" customHeight="1" thickTop="1">
      <c r="B4" s="11"/>
      <c r="C4" s="11"/>
      <c r="D4" s="11"/>
      <c r="E4" s="1331" t="str">
        <f>IF('KEY INPUTS'!C42 = "State Fiscal Year", 'KEY INPUTS'!F25,'KEY INPUTS'!D25)</f>
        <v>Balance - January 1, 2024</v>
      </c>
      <c r="F4" s="1227"/>
      <c r="G4" s="12"/>
      <c r="H4" s="12"/>
      <c r="I4" s="12"/>
      <c r="J4" s="12"/>
      <c r="K4" s="1331" t="str">
        <f>IF('KEY INPUTS'!C42 = "State Fiscal Year", 'KEY INPUTS'!F26,'KEY INPUTS'!D26)</f>
        <v>Balance - December 31, 2024</v>
      </c>
      <c r="L4" s="1336"/>
    </row>
    <row r="5" spans="2:15" ht="13.5" customHeight="1">
      <c r="B5" s="1174" t="s">
        <v>514</v>
      </c>
      <c r="C5" s="1174"/>
      <c r="D5" s="1214"/>
      <c r="E5" s="1332"/>
      <c r="F5" s="1333"/>
      <c r="G5" s="20"/>
      <c r="H5" s="20"/>
      <c r="I5" s="20"/>
      <c r="J5" s="20"/>
      <c r="K5" s="1332"/>
      <c r="L5" s="1337"/>
    </row>
    <row r="6" spans="2:15" ht="13.5" customHeight="1">
      <c r="B6" s="1174" t="s">
        <v>515</v>
      </c>
      <c r="C6" s="1174"/>
      <c r="D6" s="1214"/>
      <c r="E6" s="1334"/>
      <c r="F6" s="1335"/>
      <c r="G6" s="674" t="str">
        <f>IF('KEY INPUTS'!C42="State Fiscal Year","Fiscal Year "&amp;'KEY INPUTS'!D33&amp;"",'KEY INPUTS'!D34)&amp;""</f>
        <v>2024</v>
      </c>
      <c r="H6" s="674" t="s">
        <v>218</v>
      </c>
      <c r="I6" s="20" t="s">
        <v>235</v>
      </c>
      <c r="J6" s="20" t="s">
        <v>519</v>
      </c>
      <c r="K6" s="1334"/>
      <c r="L6" s="1338"/>
    </row>
    <row r="7" spans="2:15" ht="13.5" customHeight="1">
      <c r="B7" s="1174" t="s">
        <v>516</v>
      </c>
      <c r="C7" s="1174"/>
      <c r="D7" s="1214"/>
      <c r="E7" s="13" t="s">
        <v>517</v>
      </c>
      <c r="F7" s="13" t="s">
        <v>518</v>
      </c>
      <c r="G7" s="13" t="s">
        <v>519</v>
      </c>
      <c r="H7" s="13"/>
      <c r="I7" s="13"/>
      <c r="J7" s="13" t="s">
        <v>439</v>
      </c>
      <c r="K7" s="13" t="s">
        <v>517</v>
      </c>
      <c r="L7" s="21" t="s">
        <v>518</v>
      </c>
    </row>
    <row r="8" spans="2:15" ht="13.5" customHeight="1" thickBot="1">
      <c r="B8" s="10"/>
      <c r="C8" s="10"/>
      <c r="D8" s="10"/>
      <c r="E8" s="14"/>
      <c r="F8" s="14"/>
      <c r="G8" s="16"/>
      <c r="H8" s="16"/>
      <c r="I8" s="14"/>
      <c r="J8" s="14"/>
      <c r="K8" s="16"/>
      <c r="L8" s="145"/>
    </row>
    <row r="9" spans="2:15" ht="21" customHeight="1" thickTop="1">
      <c r="B9" s="1001" t="s">
        <v>3709</v>
      </c>
      <c r="C9" s="1002"/>
      <c r="D9" s="1003"/>
      <c r="E9" s="975">
        <v>104992.89</v>
      </c>
      <c r="F9" s="975"/>
      <c r="G9" s="975"/>
      <c r="H9" s="975"/>
      <c r="I9" s="975"/>
      <c r="J9" s="975"/>
      <c r="K9" s="426">
        <f>E9</f>
        <v>104992.89</v>
      </c>
      <c r="L9" s="976"/>
    </row>
    <row r="10" spans="2:15" ht="21" customHeight="1">
      <c r="B10" s="999" t="s">
        <v>3705</v>
      </c>
      <c r="C10" s="999"/>
      <c r="D10" s="1000"/>
      <c r="E10" s="426"/>
      <c r="F10" s="426">
        <v>22881.19</v>
      </c>
      <c r="G10" s="426"/>
      <c r="H10" s="426"/>
      <c r="I10" s="426">
        <v>12055</v>
      </c>
      <c r="J10" s="426"/>
      <c r="K10" s="426"/>
      <c r="L10" s="542">
        <f>F10-I10</f>
        <v>10826.189999999999</v>
      </c>
      <c r="M10" s="204"/>
    </row>
    <row r="11" spans="2:15" ht="21" customHeight="1">
      <c r="B11" s="999" t="s">
        <v>3710</v>
      </c>
      <c r="C11" s="999"/>
      <c r="D11" s="1000"/>
      <c r="E11" s="426">
        <v>315.8</v>
      </c>
      <c r="F11" s="426"/>
      <c r="G11" s="426"/>
      <c r="H11" s="426"/>
      <c r="I11" s="426"/>
      <c r="J11" s="426"/>
      <c r="K11" s="426">
        <f>E11</f>
        <v>315.8</v>
      </c>
      <c r="L11" s="542"/>
    </row>
    <row r="12" spans="2:15" ht="21" customHeight="1">
      <c r="B12" s="999" t="s">
        <v>3711</v>
      </c>
      <c r="C12" s="999"/>
      <c r="D12" s="1000"/>
      <c r="E12" s="977">
        <v>7806.43</v>
      </c>
      <c r="F12" s="977"/>
      <c r="G12" s="426"/>
      <c r="H12" s="426"/>
      <c r="I12" s="426"/>
      <c r="J12" s="426"/>
      <c r="K12" s="426">
        <f>E12</f>
        <v>7806.43</v>
      </c>
      <c r="L12" s="542"/>
      <c r="M12" s="204"/>
      <c r="O12" s="294"/>
    </row>
    <row r="13" spans="2:15" ht="21" customHeight="1">
      <c r="B13" s="999" t="s">
        <v>3712</v>
      </c>
      <c r="C13" s="999"/>
      <c r="D13" s="1000"/>
      <c r="E13" s="426"/>
      <c r="F13" s="426">
        <v>2993.21</v>
      </c>
      <c r="G13" s="426"/>
      <c r="H13" s="426"/>
      <c r="I13" s="426"/>
      <c r="J13" s="426"/>
      <c r="K13" s="426"/>
      <c r="L13" s="542">
        <f>F13</f>
        <v>2993.21</v>
      </c>
    </row>
    <row r="14" spans="2:15" ht="21" customHeight="1">
      <c r="B14" s="999" t="s">
        <v>3708</v>
      </c>
      <c r="C14" s="999"/>
      <c r="D14" s="1000"/>
      <c r="E14" s="426"/>
      <c r="F14" s="426">
        <v>8308.0400000000009</v>
      </c>
      <c r="G14" s="977"/>
      <c r="H14" s="977"/>
      <c r="I14" s="977"/>
      <c r="J14" s="977"/>
      <c r="K14" s="426"/>
      <c r="L14" s="542">
        <f>F14</f>
        <v>8308.0400000000009</v>
      </c>
      <c r="M14" s="204"/>
    </row>
    <row r="15" spans="2:15" ht="21" customHeight="1">
      <c r="B15" s="999" t="s">
        <v>3713</v>
      </c>
      <c r="C15" s="999"/>
      <c r="D15" s="1000"/>
      <c r="E15" s="426">
        <v>18041.900000000001</v>
      </c>
      <c r="F15" s="426"/>
      <c r="G15" s="426"/>
      <c r="H15" s="426"/>
      <c r="I15" s="426"/>
      <c r="J15" s="426"/>
      <c r="K15" s="426">
        <f>E15</f>
        <v>18041.900000000001</v>
      </c>
      <c r="L15" s="542"/>
    </row>
    <row r="16" spans="2:15" ht="21" customHeight="1">
      <c r="B16" s="999" t="s">
        <v>3714</v>
      </c>
      <c r="C16" s="999"/>
      <c r="D16" s="1000"/>
      <c r="E16" s="426">
        <v>500</v>
      </c>
      <c r="F16" s="426"/>
      <c r="G16" s="426"/>
      <c r="H16" s="426"/>
      <c r="I16" s="426"/>
      <c r="J16" s="426"/>
      <c r="K16" s="426">
        <f t="shared" ref="K16:K26" si="0">E16</f>
        <v>500</v>
      </c>
      <c r="L16" s="542"/>
      <c r="M16" s="204"/>
    </row>
    <row r="17" spans="1:13" ht="21" customHeight="1">
      <c r="A17" s="1195" t="s">
        <v>522</v>
      </c>
      <c r="B17" s="999" t="s">
        <v>3715</v>
      </c>
      <c r="C17" s="999"/>
      <c r="D17" s="1000"/>
      <c r="E17" s="426">
        <v>1301</v>
      </c>
      <c r="F17" s="426"/>
      <c r="G17" s="426"/>
      <c r="H17" s="426"/>
      <c r="I17" s="426"/>
      <c r="J17" s="426"/>
      <c r="K17" s="426">
        <f t="shared" si="0"/>
        <v>1301</v>
      </c>
      <c r="L17" s="542"/>
    </row>
    <row r="18" spans="1:13" ht="21" customHeight="1">
      <c r="A18" s="1195"/>
      <c r="B18" s="999" t="s">
        <v>3716</v>
      </c>
      <c r="C18" s="999"/>
      <c r="D18" s="1000"/>
      <c r="E18" s="426">
        <v>11720</v>
      </c>
      <c r="F18" s="426"/>
      <c r="G18" s="426"/>
      <c r="H18" s="426"/>
      <c r="I18" s="426"/>
      <c r="J18" s="426"/>
      <c r="K18" s="426">
        <f t="shared" si="0"/>
        <v>11720</v>
      </c>
      <c r="L18" s="542"/>
      <c r="M18" s="204"/>
    </row>
    <row r="19" spans="1:13" ht="21" customHeight="1">
      <c r="A19" s="1195"/>
      <c r="B19" s="999" t="s">
        <v>3717</v>
      </c>
      <c r="C19" s="999"/>
      <c r="D19" s="1000"/>
      <c r="E19" s="426">
        <v>196913.72</v>
      </c>
      <c r="F19" s="426"/>
      <c r="G19" s="426"/>
      <c r="H19" s="426"/>
      <c r="I19" s="426">
        <v>196913.72</v>
      </c>
      <c r="J19" s="426"/>
      <c r="K19" s="426">
        <f>E19-I19</f>
        <v>0</v>
      </c>
      <c r="L19" s="542"/>
    </row>
    <row r="20" spans="1:13" ht="21" customHeight="1">
      <c r="A20" s="130"/>
      <c r="B20" s="999" t="s">
        <v>3718</v>
      </c>
      <c r="C20" s="999"/>
      <c r="D20" s="1000"/>
      <c r="E20" s="426">
        <v>872.5</v>
      </c>
      <c r="F20" s="426"/>
      <c r="G20" s="426"/>
      <c r="H20" s="426"/>
      <c r="I20" s="426"/>
      <c r="J20" s="426"/>
      <c r="K20" s="426">
        <f t="shared" si="0"/>
        <v>872.5</v>
      </c>
      <c r="L20" s="542"/>
      <c r="M20" s="204"/>
    </row>
    <row r="21" spans="1:13" ht="21" customHeight="1">
      <c r="A21" s="130"/>
      <c r="B21" s="999" t="s">
        <v>3719</v>
      </c>
      <c r="C21" s="999"/>
      <c r="D21" s="1000"/>
      <c r="E21" s="426">
        <v>2175</v>
      </c>
      <c r="F21" s="426"/>
      <c r="G21" s="426"/>
      <c r="H21" s="426"/>
      <c r="I21" s="426"/>
      <c r="J21" s="426"/>
      <c r="K21" s="426">
        <f t="shared" si="0"/>
        <v>2175</v>
      </c>
      <c r="L21" s="542"/>
    </row>
    <row r="22" spans="1:13" ht="21" customHeight="1">
      <c r="A22" s="130"/>
      <c r="B22" s="999" t="s">
        <v>3720</v>
      </c>
      <c r="C22" s="999"/>
      <c r="D22" s="1000"/>
      <c r="E22" s="426"/>
      <c r="F22" s="426">
        <v>210280</v>
      </c>
      <c r="G22" s="426"/>
      <c r="H22" s="426"/>
      <c r="I22" s="426">
        <v>153735.95000000001</v>
      </c>
      <c r="J22" s="426"/>
      <c r="K22" s="426"/>
      <c r="L22" s="542">
        <f>F22-I22</f>
        <v>56544.049999999988</v>
      </c>
      <c r="M22" s="204"/>
    </row>
    <row r="23" spans="1:13" ht="21" customHeight="1">
      <c r="B23" s="999" t="s">
        <v>3721</v>
      </c>
      <c r="C23" s="999"/>
      <c r="D23" s="1000"/>
      <c r="E23" s="426">
        <v>2460.31</v>
      </c>
      <c r="F23" s="426"/>
      <c r="G23" s="426"/>
      <c r="H23" s="426"/>
      <c r="I23" s="426"/>
      <c r="J23" s="426"/>
      <c r="K23" s="426">
        <f t="shared" si="0"/>
        <v>2460.31</v>
      </c>
      <c r="L23" s="542"/>
    </row>
    <row r="24" spans="1:13" ht="21" customHeight="1">
      <c r="B24" s="999" t="s">
        <v>3722</v>
      </c>
      <c r="C24" s="999"/>
      <c r="D24" s="1000"/>
      <c r="E24" s="426">
        <v>400</v>
      </c>
      <c r="F24" s="426"/>
      <c r="G24" s="426"/>
      <c r="H24" s="426"/>
      <c r="I24" s="426"/>
      <c r="J24" s="426"/>
      <c r="K24" s="426">
        <f t="shared" si="0"/>
        <v>400</v>
      </c>
      <c r="L24" s="542"/>
    </row>
    <row r="25" spans="1:13" ht="21" customHeight="1">
      <c r="B25" s="999" t="s">
        <v>3723</v>
      </c>
      <c r="C25" s="999"/>
      <c r="D25" s="1000"/>
      <c r="E25" s="426">
        <v>114780.74</v>
      </c>
      <c r="F25" s="426"/>
      <c r="G25" s="426"/>
      <c r="H25" s="426"/>
      <c r="I25" s="426">
        <v>12000</v>
      </c>
      <c r="J25" s="426"/>
      <c r="K25" s="426">
        <f>E25-I25</f>
        <v>102780.74</v>
      </c>
      <c r="L25" s="542"/>
      <c r="M25" s="204"/>
    </row>
    <row r="26" spans="1:13" ht="21" customHeight="1">
      <c r="B26" s="999" t="s">
        <v>3724</v>
      </c>
      <c r="C26" s="999"/>
      <c r="D26" s="1000"/>
      <c r="E26" s="426">
        <v>915.94</v>
      </c>
      <c r="F26" s="426"/>
      <c r="G26" s="426"/>
      <c r="H26" s="426"/>
      <c r="I26" s="426"/>
      <c r="J26" s="426"/>
      <c r="K26" s="426">
        <f t="shared" si="0"/>
        <v>915.94</v>
      </c>
      <c r="L26" s="542"/>
    </row>
    <row r="27" spans="1:13" ht="21" customHeight="1" thickBot="1">
      <c r="B27" s="1123" t="s">
        <v>3730</v>
      </c>
      <c r="C27" s="999"/>
      <c r="D27" s="1000"/>
      <c r="E27" s="978">
        <v>8170</v>
      </c>
      <c r="F27" s="978"/>
      <c r="G27" s="978"/>
      <c r="H27" s="978"/>
      <c r="I27" s="978">
        <v>8170</v>
      </c>
      <c r="J27" s="978"/>
      <c r="K27" s="978">
        <f>E27-I27</f>
        <v>0</v>
      </c>
      <c r="L27" s="979"/>
    </row>
    <row r="28" spans="1:13" ht="21" customHeight="1" thickTop="1" thickBot="1">
      <c r="B28" s="140"/>
      <c r="C28" s="27"/>
      <c r="D28" s="73" t="s">
        <v>520</v>
      </c>
      <c r="E28" s="982">
        <f t="shared" ref="E28:L28" si="1">SUM(E9:E27)</f>
        <v>471366.23</v>
      </c>
      <c r="F28" s="982">
        <f>SUM(F9:F27)</f>
        <v>244462.44</v>
      </c>
      <c r="G28" s="982">
        <f t="shared" si="1"/>
        <v>0</v>
      </c>
      <c r="H28" s="982">
        <f t="shared" si="1"/>
        <v>0</v>
      </c>
      <c r="I28" s="982">
        <f t="shared" si="1"/>
        <v>382874.67000000004</v>
      </c>
      <c r="J28" s="982">
        <f t="shared" si="1"/>
        <v>0</v>
      </c>
      <c r="K28" s="983">
        <f t="shared" si="1"/>
        <v>254282.51</v>
      </c>
      <c r="L28" s="983">
        <f t="shared" si="1"/>
        <v>78671.489999999991</v>
      </c>
    </row>
    <row r="29" spans="1:13" ht="13.5" customHeight="1" thickTop="1">
      <c r="B29" s="144"/>
      <c r="C29" s="34" t="s">
        <v>521</v>
      </c>
      <c r="D29" s="142"/>
      <c r="K29" s="54"/>
      <c r="L29" s="54"/>
    </row>
    <row r="31" spans="1:13">
      <c r="L31" s="204"/>
    </row>
    <row r="32" spans="1:13">
      <c r="L32" s="204"/>
    </row>
    <row r="33" spans="12:12">
      <c r="L33" s="204"/>
    </row>
  </sheetData>
  <sheetProtection algorithmName="SHA-512" hashValue="XXfNOkOsTJzZ0LCDaUVzH8F86VGhxrZSmnjNZvTMfjCt+xf7N7f+52avdbxm4hJ+x68jFwb0vuEjM/0CiaccZA==" saltValue="BdUC68fQeOkubO7NhJ/vIQ==" spinCount="100000" sheet="1" objects="1" scenarios="1"/>
  <mergeCells count="8">
    <mergeCell ref="B2:L2"/>
    <mergeCell ref="B3:L3"/>
    <mergeCell ref="A17:A19"/>
    <mergeCell ref="B5:D5"/>
    <mergeCell ref="B6:D6"/>
    <mergeCell ref="B7:D7"/>
    <mergeCell ref="E4:F6"/>
    <mergeCell ref="K4:L6"/>
  </mergeCells>
  <phoneticPr fontId="0" type="noConversion"/>
  <pageMargins left="0.25" right="0.25" top="0.5" bottom="0.5" header="0.25" footer="0.25"/>
  <pageSetup paperSize="5"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40"/>
  <dimension ref="A1:M38"/>
  <sheetViews>
    <sheetView topLeftCell="A7" zoomScaleNormal="100" workbookViewId="0">
      <selection activeCell="B10" sqref="B10:B14"/>
    </sheetView>
  </sheetViews>
  <sheetFormatPr defaultRowHeight="13.2"/>
  <cols>
    <col min="1" max="1" width="3.6640625" customWidth="1"/>
    <col min="2" max="3" width="4.88671875" customWidth="1"/>
    <col min="4" max="4" width="35.6640625" customWidth="1"/>
    <col min="5" max="12" width="15.6640625" customWidth="1"/>
    <col min="13" max="13" width="15.33203125" customWidth="1"/>
  </cols>
  <sheetData>
    <row r="1" spans="1:13" ht="8.25" customHeight="1"/>
    <row r="2" spans="1:13" ht="20.399999999999999">
      <c r="B2" s="1131" t="s">
        <v>523</v>
      </c>
      <c r="C2" s="1131"/>
      <c r="D2" s="1131"/>
      <c r="E2" s="1131"/>
      <c r="F2" s="1131"/>
      <c r="G2" s="1131"/>
      <c r="H2" s="1131"/>
      <c r="I2" s="1131"/>
      <c r="J2" s="1131"/>
      <c r="K2" s="1131"/>
      <c r="L2" s="1131"/>
    </row>
    <row r="3" spans="1:13" ht="9.75" customHeight="1" thickBot="1">
      <c r="B3" s="1131"/>
      <c r="C3" s="1131"/>
      <c r="D3" s="1131"/>
      <c r="E3" s="1131"/>
      <c r="F3" s="1131"/>
      <c r="G3" s="1131"/>
      <c r="H3" s="1131"/>
      <c r="I3" s="1131"/>
      <c r="J3" s="1131"/>
      <c r="K3" s="1131"/>
      <c r="L3" s="1131"/>
    </row>
    <row r="4" spans="1:13" ht="13.5" customHeight="1" thickTop="1">
      <c r="B4" s="11"/>
      <c r="C4" s="11"/>
      <c r="D4" s="11"/>
      <c r="E4" s="1331" t="str">
        <f>'35- Cap Fund Imprv Auth'!E4:F6</f>
        <v>Balance - January 1, 2024</v>
      </c>
      <c r="F4" s="1227"/>
      <c r="G4" s="12"/>
      <c r="H4" s="12"/>
      <c r="I4" s="12"/>
      <c r="J4" s="12"/>
      <c r="K4" s="1331" t="str">
        <f>'35- Cap Fund Imprv Auth'!K4:L6</f>
        <v>Balance - December 31, 2024</v>
      </c>
      <c r="L4" s="1336"/>
    </row>
    <row r="5" spans="1:13" ht="13.5" customHeight="1">
      <c r="B5" s="1174" t="s">
        <v>514</v>
      </c>
      <c r="C5" s="1174"/>
      <c r="D5" s="1214"/>
      <c r="E5" s="1332"/>
      <c r="F5" s="1333"/>
      <c r="G5" s="20"/>
      <c r="H5" s="20"/>
      <c r="I5" s="20"/>
      <c r="J5" s="20"/>
      <c r="K5" s="1332"/>
      <c r="L5" s="1337"/>
    </row>
    <row r="6" spans="1:13" ht="13.5" customHeight="1">
      <c r="B6" s="1174" t="s">
        <v>515</v>
      </c>
      <c r="C6" s="1174"/>
      <c r="D6" s="1214"/>
      <c r="E6" s="1334"/>
      <c r="F6" s="1335"/>
      <c r="G6" s="20" t="str">
        <f>IF('KEY INPUTS'!C42="State Fiscal Year","Fiscal Year "&amp;'KEY INPUTS'!D33&amp;"",'KEY INPUTS'!D34)&amp;""</f>
        <v>2024</v>
      </c>
      <c r="H6" s="674" t="s">
        <v>218</v>
      </c>
      <c r="I6" s="20" t="s">
        <v>235</v>
      </c>
      <c r="J6" s="20" t="s">
        <v>519</v>
      </c>
      <c r="K6" s="1334"/>
      <c r="L6" s="1338"/>
    </row>
    <row r="7" spans="1:13" ht="13.5" customHeight="1">
      <c r="B7" s="1174" t="s">
        <v>516</v>
      </c>
      <c r="C7" s="1174"/>
      <c r="D7" s="1214"/>
      <c r="E7" s="13" t="s">
        <v>517</v>
      </c>
      <c r="F7" s="13" t="s">
        <v>518</v>
      </c>
      <c r="G7" s="13" t="s">
        <v>519</v>
      </c>
      <c r="H7" s="13"/>
      <c r="I7" s="13"/>
      <c r="J7" s="13" t="s">
        <v>439</v>
      </c>
      <c r="K7" s="13" t="s">
        <v>517</v>
      </c>
      <c r="L7" s="21" t="s">
        <v>518</v>
      </c>
    </row>
    <row r="8" spans="1:13" ht="13.5" customHeight="1" thickBot="1">
      <c r="B8" s="10"/>
      <c r="C8" s="10"/>
      <c r="D8" s="10"/>
      <c r="E8" s="14"/>
      <c r="F8" s="14"/>
      <c r="G8" s="16"/>
      <c r="H8" s="16"/>
      <c r="I8" s="14"/>
      <c r="J8" s="14"/>
      <c r="K8" s="16"/>
      <c r="L8" s="145"/>
    </row>
    <row r="9" spans="1:13" ht="21" customHeight="1" thickTop="1">
      <c r="B9" s="205" t="s">
        <v>3263</v>
      </c>
      <c r="C9" s="22"/>
      <c r="D9" s="23"/>
      <c r="E9" s="980">
        <f>'35- Cap Fund Imprv Auth'!E28</f>
        <v>471366.23</v>
      </c>
      <c r="F9" s="980">
        <f>'35- Cap Fund Imprv Auth'!F28</f>
        <v>244462.44</v>
      </c>
      <c r="G9" s="980">
        <f>+'35- Cap Fund Imprv Auth'!G28</f>
        <v>0</v>
      </c>
      <c r="H9" s="980">
        <f>+'35- Cap Fund Imprv Auth'!H28</f>
        <v>0</v>
      </c>
      <c r="I9" s="980">
        <f>+'35- Cap Fund Imprv Auth'!I28</f>
        <v>382874.67000000004</v>
      </c>
      <c r="J9" s="980">
        <f>+'35- Cap Fund Imprv Auth'!J28</f>
        <v>0</v>
      </c>
      <c r="K9" s="980">
        <f>+'35- Cap Fund Imprv Auth'!K28</f>
        <v>254282.51</v>
      </c>
      <c r="L9" s="981">
        <f>+'35- Cap Fund Imprv Auth'!L28</f>
        <v>78671.489999999991</v>
      </c>
    </row>
    <row r="10" spans="1:13" ht="21" customHeight="1">
      <c r="B10" s="1122" t="s">
        <v>3725</v>
      </c>
      <c r="C10" s="999"/>
      <c r="D10" s="1000"/>
      <c r="E10" s="426"/>
      <c r="F10" s="426"/>
      <c r="G10" s="426">
        <v>50000</v>
      </c>
      <c r="H10" s="426"/>
      <c r="I10" s="426"/>
      <c r="J10" s="426"/>
      <c r="K10" s="426">
        <f>G10</f>
        <v>50000</v>
      </c>
      <c r="L10" s="542"/>
    </row>
    <row r="11" spans="1:13" ht="21" customHeight="1">
      <c r="B11" s="1122" t="s">
        <v>3726</v>
      </c>
      <c r="C11" s="999"/>
      <c r="D11" s="1000"/>
      <c r="E11" s="426"/>
      <c r="F11" s="426"/>
      <c r="G11" s="426">
        <v>7885</v>
      </c>
      <c r="H11" s="426"/>
      <c r="I11" s="426">
        <v>7885</v>
      </c>
      <c r="J11" s="426"/>
      <c r="K11" s="426">
        <f>G11-I11</f>
        <v>0</v>
      </c>
      <c r="L11" s="542"/>
    </row>
    <row r="12" spans="1:13" ht="21" customHeight="1">
      <c r="A12" s="1195" t="s">
        <v>3491</v>
      </c>
      <c r="B12" s="1122" t="s">
        <v>3727</v>
      </c>
      <c r="C12" s="999"/>
      <c r="D12" s="1000"/>
      <c r="E12" s="426"/>
      <c r="F12" s="426"/>
      <c r="G12" s="426">
        <v>140000</v>
      </c>
      <c r="H12" s="426"/>
      <c r="I12" s="426">
        <v>2680</v>
      </c>
      <c r="J12" s="426"/>
      <c r="K12" s="426">
        <f>G12-I12</f>
        <v>137320</v>
      </c>
      <c r="L12" s="542"/>
      <c r="M12" s="204"/>
    </row>
    <row r="13" spans="1:13" ht="21" customHeight="1">
      <c r="A13" s="1195"/>
      <c r="B13" s="1122" t="s">
        <v>3728</v>
      </c>
      <c r="C13" s="999"/>
      <c r="D13" s="1000"/>
      <c r="E13" s="426"/>
      <c r="F13" s="426"/>
      <c r="G13" s="426">
        <v>250000</v>
      </c>
      <c r="H13" s="426"/>
      <c r="I13" s="426">
        <v>81894.350000000006</v>
      </c>
      <c r="J13" s="426"/>
      <c r="K13" s="426"/>
      <c r="L13" s="542">
        <f>G13-I13</f>
        <v>168105.65</v>
      </c>
    </row>
    <row r="14" spans="1:13" ht="21" customHeight="1">
      <c r="A14" s="1195"/>
      <c r="B14" s="1122" t="s">
        <v>3729</v>
      </c>
      <c r="C14" s="999"/>
      <c r="D14" s="1000"/>
      <c r="E14" s="426"/>
      <c r="F14" s="426"/>
      <c r="G14" s="426">
        <v>7000</v>
      </c>
      <c r="H14" s="426"/>
      <c r="I14" s="426"/>
      <c r="J14" s="426"/>
      <c r="K14" s="426">
        <f>G14-I14</f>
        <v>7000</v>
      </c>
      <c r="L14" s="542"/>
    </row>
    <row r="15" spans="1:13" ht="21" customHeight="1">
      <c r="A15" s="1195"/>
      <c r="B15" s="999"/>
      <c r="C15" s="999"/>
      <c r="D15" s="1000"/>
      <c r="E15" s="426"/>
      <c r="F15" s="426"/>
      <c r="G15" s="426"/>
      <c r="H15" s="426"/>
      <c r="I15" s="426"/>
      <c r="J15" s="426"/>
      <c r="K15" s="426"/>
      <c r="L15" s="542"/>
    </row>
    <row r="16" spans="1:13" ht="21" customHeight="1">
      <c r="A16" s="1195"/>
      <c r="B16" s="999"/>
      <c r="C16" s="999"/>
      <c r="D16" s="1000"/>
      <c r="E16" s="426"/>
      <c r="F16" s="426"/>
      <c r="G16" s="426"/>
      <c r="H16" s="426"/>
      <c r="I16" s="426"/>
      <c r="J16" s="426"/>
      <c r="K16" s="426"/>
      <c r="L16" s="542"/>
    </row>
    <row r="17" spans="1:13" ht="21" customHeight="1">
      <c r="A17" s="1195"/>
      <c r="B17" s="999"/>
      <c r="C17" s="999"/>
      <c r="D17" s="1000"/>
      <c r="E17" s="426"/>
      <c r="F17" s="426"/>
      <c r="G17" s="426"/>
      <c r="H17" s="426"/>
      <c r="I17" s="426"/>
      <c r="J17" s="426"/>
      <c r="K17" s="426"/>
      <c r="L17" s="542"/>
    </row>
    <row r="18" spans="1:13" ht="21" customHeight="1">
      <c r="A18" s="1195"/>
      <c r="B18" s="999"/>
      <c r="C18" s="999"/>
      <c r="D18" s="1000"/>
      <c r="E18" s="426"/>
      <c r="F18" s="426"/>
      <c r="G18" s="426"/>
      <c r="H18" s="426"/>
      <c r="I18" s="426"/>
      <c r="J18" s="426"/>
      <c r="K18" s="426"/>
      <c r="L18" s="542"/>
    </row>
    <row r="19" spans="1:13" ht="21" customHeight="1">
      <c r="A19" s="1195"/>
      <c r="B19" s="999"/>
      <c r="C19" s="999"/>
      <c r="D19" s="1000"/>
      <c r="E19" s="426"/>
      <c r="F19" s="426"/>
      <c r="G19" s="426"/>
      <c r="H19" s="426"/>
      <c r="I19" s="426"/>
      <c r="J19" s="426"/>
      <c r="K19" s="426"/>
      <c r="L19" s="542"/>
    </row>
    <row r="20" spans="1:13" ht="21" customHeight="1">
      <c r="A20" s="1195"/>
      <c r="B20" s="999"/>
      <c r="C20" s="999"/>
      <c r="D20" s="1000"/>
      <c r="E20" s="426"/>
      <c r="F20" s="426"/>
      <c r="G20" s="426"/>
      <c r="H20" s="426"/>
      <c r="I20" s="426"/>
      <c r="J20" s="426"/>
      <c r="K20" s="426"/>
      <c r="L20" s="542"/>
    </row>
    <row r="21" spans="1:13" ht="21" customHeight="1">
      <c r="A21" s="1195"/>
      <c r="B21" s="999"/>
      <c r="C21" s="999"/>
      <c r="D21" s="1000"/>
      <c r="E21" s="426"/>
      <c r="F21" s="426"/>
      <c r="G21" s="426"/>
      <c r="H21" s="426"/>
      <c r="I21" s="426"/>
      <c r="J21" s="426"/>
      <c r="K21" s="426"/>
      <c r="L21" s="542"/>
    </row>
    <row r="22" spans="1:13" ht="21" customHeight="1">
      <c r="A22" s="1195"/>
      <c r="B22" s="999"/>
      <c r="C22" s="999"/>
      <c r="D22" s="1000"/>
      <c r="E22" s="426"/>
      <c r="F22" s="426"/>
      <c r="G22" s="426"/>
      <c r="H22" s="426"/>
      <c r="I22" s="426"/>
      <c r="J22" s="426"/>
      <c r="K22" s="426"/>
      <c r="L22" s="542"/>
    </row>
    <row r="23" spans="1:13" ht="21" customHeight="1">
      <c r="A23" s="1195"/>
      <c r="B23" s="999"/>
      <c r="C23" s="999"/>
      <c r="D23" s="1000"/>
      <c r="E23" s="426"/>
      <c r="F23" s="426"/>
      <c r="G23" s="426"/>
      <c r="H23" s="426"/>
      <c r="I23" s="426"/>
      <c r="J23" s="426"/>
      <c r="K23" s="426"/>
      <c r="L23" s="542"/>
    </row>
    <row r="24" spans="1:13" ht="21" customHeight="1">
      <c r="A24" s="1195"/>
      <c r="B24" s="999"/>
      <c r="C24" s="999"/>
      <c r="D24" s="1000"/>
      <c r="E24" s="426"/>
      <c r="F24" s="426"/>
      <c r="G24" s="426"/>
      <c r="H24" s="426"/>
      <c r="I24" s="426"/>
      <c r="J24" s="426"/>
      <c r="K24" s="426"/>
      <c r="L24" s="542"/>
      <c r="M24" s="204"/>
    </row>
    <row r="25" spans="1:13" ht="21" customHeight="1">
      <c r="B25" s="999"/>
      <c r="C25" s="999"/>
      <c r="D25" s="1000"/>
      <c r="E25" s="426"/>
      <c r="F25" s="426"/>
      <c r="G25" s="426"/>
      <c r="H25" s="426"/>
      <c r="I25" s="426"/>
      <c r="J25" s="426"/>
      <c r="K25" s="426"/>
      <c r="L25" s="542"/>
    </row>
    <row r="26" spans="1:13" ht="21" customHeight="1">
      <c r="B26" s="999"/>
      <c r="C26" s="999"/>
      <c r="D26" s="1000"/>
      <c r="E26" s="426"/>
      <c r="F26" s="426"/>
      <c r="G26" s="426"/>
      <c r="H26" s="426"/>
      <c r="I26" s="426"/>
      <c r="J26" s="426"/>
      <c r="K26" s="426"/>
      <c r="L26" s="542"/>
    </row>
    <row r="27" spans="1:13" ht="21" customHeight="1" thickBot="1">
      <c r="B27" s="999"/>
      <c r="C27" s="999"/>
      <c r="D27" s="1000"/>
      <c r="E27" s="978"/>
      <c r="F27" s="978"/>
      <c r="G27" s="978"/>
      <c r="H27" s="978"/>
      <c r="I27" s="978"/>
      <c r="J27" s="978"/>
      <c r="K27" s="978"/>
      <c r="L27" s="979"/>
    </row>
    <row r="28" spans="1:13" ht="21" customHeight="1" thickTop="1" thickBot="1">
      <c r="B28" s="140"/>
      <c r="C28" s="27"/>
      <c r="D28" s="604" t="s">
        <v>3262</v>
      </c>
      <c r="E28" s="982">
        <f>SUM(E9:E27)</f>
        <v>471366.23</v>
      </c>
      <c r="F28" s="982">
        <f>SUM(F9:F27)</f>
        <v>244462.44</v>
      </c>
      <c r="G28" s="982">
        <f t="shared" ref="G28:K28" si="0">SUM(G9:G27)</f>
        <v>454885</v>
      </c>
      <c r="H28" s="982">
        <f t="shared" si="0"/>
        <v>0</v>
      </c>
      <c r="I28" s="982">
        <f t="shared" si="0"/>
        <v>475334.02</v>
      </c>
      <c r="J28" s="982">
        <f t="shared" si="0"/>
        <v>0</v>
      </c>
      <c r="K28" s="982">
        <f t="shared" si="0"/>
        <v>448602.51</v>
      </c>
      <c r="L28" s="983">
        <f>SUM(L9:L27)</f>
        <v>246777.13999999998</v>
      </c>
    </row>
    <row r="29" spans="1:13" ht="13.5" customHeight="1" thickTop="1">
      <c r="B29" s="144"/>
      <c r="C29" s="34" t="s">
        <v>521</v>
      </c>
      <c r="D29" s="142"/>
      <c r="K29" s="54"/>
      <c r="L29" s="54"/>
    </row>
    <row r="30" spans="1:13">
      <c r="K30" s="204"/>
      <c r="L30" s="61"/>
    </row>
    <row r="33" spans="5:12">
      <c r="E33" s="204"/>
      <c r="F33" s="204"/>
    </row>
    <row r="34" spans="5:12">
      <c r="K34" s="204"/>
      <c r="L34" s="204"/>
    </row>
    <row r="35" spans="5:12">
      <c r="L35" s="204"/>
    </row>
    <row r="36" spans="5:12">
      <c r="L36" s="204"/>
    </row>
    <row r="38" spans="5:12">
      <c r="L38" s="204"/>
    </row>
  </sheetData>
  <sheetProtection algorithmName="SHA-512" hashValue="99h7XSwUP39tSTTzUnOvngw7t2l0VnXHXPtxwzGm5GmjVGJRbVTQg3QXIlvcks4DarY/TgcL2XnD12pkB28kXg==" saltValue="hNsS2L7TqL2MW+S4GEofJg==" spinCount="100000" sheet="1" objects="1" scenarios="1"/>
  <mergeCells count="8">
    <mergeCell ref="B2:L2"/>
    <mergeCell ref="B3:L3"/>
    <mergeCell ref="A12:A24"/>
    <mergeCell ref="B5:D5"/>
    <mergeCell ref="B6:D6"/>
    <mergeCell ref="B7:D7"/>
    <mergeCell ref="E4:F6"/>
    <mergeCell ref="K4:L6"/>
  </mergeCells>
  <phoneticPr fontId="0" type="noConversion"/>
  <pageMargins left="0.25" right="0.25" top="0.5" bottom="0.5" header="0.25" footer="0.25"/>
  <pageSetup paperSize="5"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B55E9-F1A9-4BBE-9751-0EC1D65B6B35}">
  <sheetPr codeName="Sheet141"/>
  <dimension ref="A1:M38"/>
  <sheetViews>
    <sheetView zoomScaleNormal="100" workbookViewId="0">
      <selection activeCell="J15" sqref="J15"/>
    </sheetView>
  </sheetViews>
  <sheetFormatPr defaultColWidth="9.109375" defaultRowHeight="13.2"/>
  <cols>
    <col min="1" max="1" width="3.6640625" customWidth="1"/>
    <col min="2" max="3" width="4.88671875" customWidth="1"/>
    <col min="4" max="4" width="35.6640625" customWidth="1"/>
    <col min="5" max="12" width="15.6640625" customWidth="1"/>
    <col min="13" max="13" width="15.33203125" customWidth="1"/>
  </cols>
  <sheetData>
    <row r="1" spans="1:13" ht="8.25" customHeight="1"/>
    <row r="2" spans="1:13" ht="20.399999999999999">
      <c r="B2" s="1131" t="s">
        <v>523</v>
      </c>
      <c r="C2" s="1131"/>
      <c r="D2" s="1131"/>
      <c r="E2" s="1131"/>
      <c r="F2" s="1131"/>
      <c r="G2" s="1131"/>
      <c r="H2" s="1131"/>
      <c r="I2" s="1131"/>
      <c r="J2" s="1131"/>
      <c r="K2" s="1131"/>
      <c r="L2" s="1131"/>
    </row>
    <row r="3" spans="1:13" ht="9.75" customHeight="1" thickBot="1">
      <c r="B3" s="1131"/>
      <c r="C3" s="1131"/>
      <c r="D3" s="1131"/>
      <c r="E3" s="1131"/>
      <c r="F3" s="1131"/>
      <c r="G3" s="1131"/>
      <c r="H3" s="1131"/>
      <c r="I3" s="1131"/>
      <c r="J3" s="1131"/>
      <c r="K3" s="1131"/>
      <c r="L3" s="1131"/>
    </row>
    <row r="4" spans="1:13" ht="13.5" customHeight="1" thickTop="1">
      <c r="B4" s="11"/>
      <c r="C4" s="11"/>
      <c r="D4" s="11"/>
      <c r="E4" s="1331" t="str">
        <f>'35- Cap Fund Imprv Auth'!E4:F6</f>
        <v>Balance - January 1, 2024</v>
      </c>
      <c r="F4" s="1227"/>
      <c r="G4" s="12"/>
      <c r="H4" s="12"/>
      <c r="I4" s="12"/>
      <c r="J4" s="12"/>
      <c r="K4" s="1331" t="str">
        <f>'35- Cap Fund Imprv Auth'!K4:L6</f>
        <v>Balance - December 31, 2024</v>
      </c>
      <c r="L4" s="1336"/>
    </row>
    <row r="5" spans="1:13" ht="13.5" customHeight="1">
      <c r="B5" s="1174" t="s">
        <v>514</v>
      </c>
      <c r="C5" s="1174"/>
      <c r="D5" s="1214"/>
      <c r="E5" s="1332"/>
      <c r="F5" s="1333"/>
      <c r="G5" s="20"/>
      <c r="H5" s="20"/>
      <c r="I5" s="20"/>
      <c r="J5" s="20"/>
      <c r="K5" s="1332"/>
      <c r="L5" s="1337"/>
    </row>
    <row r="6" spans="1:13" ht="13.5" customHeight="1">
      <c r="B6" s="1174" t="s">
        <v>515</v>
      </c>
      <c r="C6" s="1174"/>
      <c r="D6" s="1214"/>
      <c r="E6" s="1334"/>
      <c r="F6" s="1335"/>
      <c r="G6" s="20" t="str">
        <f>IF('KEY INPUTS'!C42="State Fiscal Year","Fiscal Year "&amp;'KEY INPUTS'!D33&amp;"",'KEY INPUTS'!D34)&amp;""</f>
        <v>2024</v>
      </c>
      <c r="H6" s="674" t="s">
        <v>218</v>
      </c>
      <c r="I6" s="20" t="s">
        <v>235</v>
      </c>
      <c r="J6" s="20" t="s">
        <v>519</v>
      </c>
      <c r="K6" s="1334"/>
      <c r="L6" s="1338"/>
    </row>
    <row r="7" spans="1:13" ht="13.5" customHeight="1">
      <c r="B7" s="1174" t="s">
        <v>516</v>
      </c>
      <c r="C7" s="1174"/>
      <c r="D7" s="1214"/>
      <c r="E7" s="13" t="s">
        <v>517</v>
      </c>
      <c r="F7" s="13" t="s">
        <v>518</v>
      </c>
      <c r="G7" s="13" t="s">
        <v>519</v>
      </c>
      <c r="H7" s="13"/>
      <c r="I7" s="13"/>
      <c r="J7" s="13" t="s">
        <v>439</v>
      </c>
      <c r="K7" s="13" t="s">
        <v>517</v>
      </c>
      <c r="L7" s="21" t="s">
        <v>518</v>
      </c>
    </row>
    <row r="8" spans="1:13" ht="13.5" customHeight="1" thickBot="1">
      <c r="B8" s="10"/>
      <c r="C8" s="10"/>
      <c r="D8" s="10"/>
      <c r="E8" s="14"/>
      <c r="F8" s="14"/>
      <c r="G8" s="16"/>
      <c r="H8" s="16"/>
      <c r="I8" s="14"/>
      <c r="J8" s="14"/>
      <c r="K8" s="16"/>
      <c r="L8" s="145"/>
    </row>
    <row r="9" spans="1:13" ht="21" customHeight="1" thickTop="1">
      <c r="B9" s="205" t="s">
        <v>3263</v>
      </c>
      <c r="C9" s="22"/>
      <c r="D9" s="23"/>
      <c r="E9" s="980">
        <f>+'35.1- Cap Fund Imprv Auth '!E28</f>
        <v>471366.23</v>
      </c>
      <c r="F9" s="980">
        <f>+'35.1- Cap Fund Imprv Auth '!F28</f>
        <v>244462.44</v>
      </c>
      <c r="G9" s="980">
        <f>+'35.1- Cap Fund Imprv Auth '!G28</f>
        <v>454885</v>
      </c>
      <c r="H9" s="980">
        <f>+'35.1- Cap Fund Imprv Auth '!H28</f>
        <v>0</v>
      </c>
      <c r="I9" s="980">
        <f>+'35.1- Cap Fund Imprv Auth '!I28</f>
        <v>475334.02</v>
      </c>
      <c r="J9" s="980">
        <f>+'35.1- Cap Fund Imprv Auth '!J28</f>
        <v>0</v>
      </c>
      <c r="K9" s="980">
        <f>+'35.1- Cap Fund Imprv Auth '!K28</f>
        <v>448602.51</v>
      </c>
      <c r="L9" s="981">
        <f>+'35.1- Cap Fund Imprv Auth '!L28</f>
        <v>246777.13999999998</v>
      </c>
    </row>
    <row r="10" spans="1:13" ht="21" customHeight="1">
      <c r="B10" s="999"/>
      <c r="C10" s="999"/>
      <c r="D10" s="1000"/>
      <c r="E10" s="426"/>
      <c r="F10" s="426"/>
      <c r="G10" s="426"/>
      <c r="H10" s="426"/>
      <c r="I10" s="426"/>
      <c r="J10" s="426"/>
      <c r="K10" s="426"/>
      <c r="L10" s="542"/>
    </row>
    <row r="11" spans="1:13" ht="21" customHeight="1">
      <c r="B11" s="999"/>
      <c r="C11" s="999"/>
      <c r="D11" s="1000"/>
      <c r="E11" s="426"/>
      <c r="F11" s="426"/>
      <c r="G11" s="426"/>
      <c r="H11" s="426"/>
      <c r="I11" s="426"/>
      <c r="J11" s="426"/>
      <c r="K11" s="426"/>
      <c r="L11" s="542"/>
    </row>
    <row r="12" spans="1:13" ht="21" customHeight="1">
      <c r="A12" s="1195" t="s">
        <v>3492</v>
      </c>
      <c r="B12" s="999"/>
      <c r="C12" s="999"/>
      <c r="D12" s="1000"/>
      <c r="E12" s="426"/>
      <c r="F12" s="426"/>
      <c r="G12" s="426"/>
      <c r="H12" s="426"/>
      <c r="I12" s="426"/>
      <c r="J12" s="426"/>
      <c r="K12" s="426"/>
      <c r="L12" s="542"/>
      <c r="M12" s="204"/>
    </row>
    <row r="13" spans="1:13" ht="21" customHeight="1">
      <c r="A13" s="1195"/>
      <c r="B13" s="999"/>
      <c r="C13" s="999"/>
      <c r="D13" s="1000"/>
      <c r="E13" s="426"/>
      <c r="F13" s="426"/>
      <c r="G13" s="426"/>
      <c r="H13" s="426"/>
      <c r="I13" s="426"/>
      <c r="J13" s="426"/>
      <c r="K13" s="426"/>
      <c r="L13" s="542"/>
    </row>
    <row r="14" spans="1:13" ht="21" customHeight="1">
      <c r="A14" s="1195"/>
      <c r="B14" s="999"/>
      <c r="C14" s="999"/>
      <c r="D14" s="1000"/>
      <c r="E14" s="426"/>
      <c r="F14" s="426"/>
      <c r="G14" s="426"/>
      <c r="H14" s="426"/>
      <c r="I14" s="426"/>
      <c r="J14" s="426"/>
      <c r="K14" s="426"/>
      <c r="L14" s="542"/>
    </row>
    <row r="15" spans="1:13" ht="21" customHeight="1">
      <c r="A15" s="1195"/>
      <c r="B15" s="999"/>
      <c r="C15" s="999"/>
      <c r="D15" s="1000"/>
      <c r="E15" s="426"/>
      <c r="F15" s="426"/>
      <c r="G15" s="426"/>
      <c r="H15" s="426"/>
      <c r="I15" s="426"/>
      <c r="J15" s="426"/>
      <c r="K15" s="426"/>
      <c r="L15" s="542"/>
    </row>
    <row r="16" spans="1:13" ht="21" customHeight="1">
      <c r="A16" s="1195"/>
      <c r="B16" s="999"/>
      <c r="C16" s="999"/>
      <c r="D16" s="1000"/>
      <c r="E16" s="426"/>
      <c r="F16" s="426"/>
      <c r="G16" s="426"/>
      <c r="H16" s="426"/>
      <c r="I16" s="426"/>
      <c r="J16" s="426"/>
      <c r="K16" s="426"/>
      <c r="L16" s="542"/>
    </row>
    <row r="17" spans="1:13" ht="21" customHeight="1">
      <c r="A17" s="1195"/>
      <c r="B17" s="999"/>
      <c r="C17" s="999"/>
      <c r="D17" s="1000"/>
      <c r="E17" s="426"/>
      <c r="F17" s="426"/>
      <c r="G17" s="426"/>
      <c r="H17" s="426"/>
      <c r="I17" s="426"/>
      <c r="J17" s="426"/>
      <c r="K17" s="426"/>
      <c r="L17" s="542"/>
    </row>
    <row r="18" spans="1:13" ht="21" customHeight="1">
      <c r="A18" s="1195"/>
      <c r="B18" s="999"/>
      <c r="C18" s="999"/>
      <c r="D18" s="1000"/>
      <c r="E18" s="426"/>
      <c r="F18" s="426"/>
      <c r="G18" s="426"/>
      <c r="H18" s="426"/>
      <c r="I18" s="426"/>
      <c r="J18" s="426"/>
      <c r="K18" s="426"/>
      <c r="L18" s="542"/>
    </row>
    <row r="19" spans="1:13" ht="21" customHeight="1">
      <c r="A19" s="1195"/>
      <c r="B19" s="999"/>
      <c r="C19" s="999"/>
      <c r="D19" s="1000"/>
      <c r="E19" s="426"/>
      <c r="F19" s="426"/>
      <c r="G19" s="426"/>
      <c r="H19" s="426"/>
      <c r="I19" s="426"/>
      <c r="J19" s="426"/>
      <c r="K19" s="426"/>
      <c r="L19" s="542"/>
    </row>
    <row r="20" spans="1:13" ht="21" customHeight="1">
      <c r="A20" s="1195"/>
      <c r="B20" s="999"/>
      <c r="C20" s="999"/>
      <c r="D20" s="1000"/>
      <c r="E20" s="426"/>
      <c r="F20" s="426"/>
      <c r="G20" s="426"/>
      <c r="H20" s="426"/>
      <c r="I20" s="426"/>
      <c r="J20" s="426"/>
      <c r="K20" s="426"/>
      <c r="L20" s="542"/>
    </row>
    <row r="21" spans="1:13" ht="21" customHeight="1">
      <c r="A21" s="1195"/>
      <c r="B21" s="999"/>
      <c r="C21" s="999"/>
      <c r="D21" s="1000"/>
      <c r="E21" s="426"/>
      <c r="F21" s="426"/>
      <c r="G21" s="426"/>
      <c r="H21" s="426"/>
      <c r="I21" s="426"/>
      <c r="J21" s="426"/>
      <c r="K21" s="426"/>
      <c r="L21" s="542"/>
    </row>
    <row r="22" spans="1:13" ht="21" customHeight="1">
      <c r="A22" s="1195"/>
      <c r="B22" s="999"/>
      <c r="C22" s="999"/>
      <c r="D22" s="1000"/>
      <c r="E22" s="426"/>
      <c r="F22" s="426"/>
      <c r="G22" s="426"/>
      <c r="H22" s="426"/>
      <c r="I22" s="426"/>
      <c r="J22" s="426"/>
      <c r="K22" s="426"/>
      <c r="L22" s="542"/>
    </row>
    <row r="23" spans="1:13" ht="21" customHeight="1">
      <c r="A23" s="1195"/>
      <c r="B23" s="999"/>
      <c r="C23" s="999"/>
      <c r="D23" s="1000"/>
      <c r="E23" s="426"/>
      <c r="F23" s="426"/>
      <c r="G23" s="426"/>
      <c r="H23" s="426"/>
      <c r="I23" s="426"/>
      <c r="J23" s="426"/>
      <c r="K23" s="426"/>
      <c r="L23" s="542"/>
    </row>
    <row r="24" spans="1:13" ht="21" customHeight="1">
      <c r="A24" s="1195"/>
      <c r="B24" s="999"/>
      <c r="C24" s="999"/>
      <c r="D24" s="1000"/>
      <c r="E24" s="426"/>
      <c r="F24" s="426"/>
      <c r="G24" s="426"/>
      <c r="H24" s="426"/>
      <c r="I24" s="426"/>
      <c r="J24" s="426"/>
      <c r="K24" s="426"/>
      <c r="L24" s="542"/>
      <c r="M24" s="204"/>
    </row>
    <row r="25" spans="1:13" ht="21" customHeight="1">
      <c r="B25" s="999"/>
      <c r="C25" s="999"/>
      <c r="D25" s="1000"/>
      <c r="E25" s="426"/>
      <c r="F25" s="426"/>
      <c r="G25" s="426"/>
      <c r="H25" s="426"/>
      <c r="I25" s="426"/>
      <c r="J25" s="426"/>
      <c r="K25" s="426"/>
      <c r="L25" s="542"/>
    </row>
    <row r="26" spans="1:13" ht="21" customHeight="1">
      <c r="B26" s="999"/>
      <c r="C26" s="999"/>
      <c r="D26" s="1000"/>
      <c r="E26" s="426"/>
      <c r="F26" s="426"/>
      <c r="G26" s="426"/>
      <c r="H26" s="426"/>
      <c r="I26" s="426"/>
      <c r="J26" s="426"/>
      <c r="K26" s="426"/>
      <c r="L26" s="542"/>
    </row>
    <row r="27" spans="1:13" ht="21" customHeight="1" thickBot="1">
      <c r="B27" s="999"/>
      <c r="C27" s="999"/>
      <c r="D27" s="1000"/>
      <c r="E27" s="978"/>
      <c r="F27" s="978"/>
      <c r="G27" s="978"/>
      <c r="H27" s="978"/>
      <c r="I27" s="978"/>
      <c r="J27" s="978"/>
      <c r="K27" s="978"/>
      <c r="L27" s="979"/>
    </row>
    <row r="28" spans="1:13" ht="21" customHeight="1" thickTop="1" thickBot="1">
      <c r="B28" s="140"/>
      <c r="C28" s="27"/>
      <c r="D28" s="604" t="s">
        <v>3262</v>
      </c>
      <c r="E28" s="982">
        <f t="shared" ref="E28:K28" si="0">SUM(E9:E27)</f>
        <v>471366.23</v>
      </c>
      <c r="F28" s="982">
        <f>SUM(F9:F27)</f>
        <v>244462.44</v>
      </c>
      <c r="G28" s="982">
        <f t="shared" si="0"/>
        <v>454885</v>
      </c>
      <c r="H28" s="982">
        <f t="shared" si="0"/>
        <v>0</v>
      </c>
      <c r="I28" s="982">
        <f t="shared" si="0"/>
        <v>475334.02</v>
      </c>
      <c r="J28" s="982">
        <f t="shared" si="0"/>
        <v>0</v>
      </c>
      <c r="K28" s="982">
        <f t="shared" si="0"/>
        <v>448602.51</v>
      </c>
      <c r="L28" s="983">
        <f>SUM(L9:L27)</f>
        <v>246777.13999999998</v>
      </c>
    </row>
    <row r="29" spans="1:13" ht="13.5" customHeight="1" thickTop="1">
      <c r="B29" s="144"/>
      <c r="C29" s="34" t="s">
        <v>521</v>
      </c>
      <c r="D29" s="142"/>
      <c r="K29" s="54"/>
      <c r="L29" s="54"/>
    </row>
    <row r="30" spans="1:13">
      <c r="K30" s="204"/>
      <c r="L30" s="61"/>
    </row>
    <row r="33" spans="5:12">
      <c r="E33" s="204"/>
      <c r="F33" s="204"/>
    </row>
    <row r="34" spans="5:12">
      <c r="K34" s="204"/>
      <c r="L34" s="204"/>
    </row>
    <row r="35" spans="5:12">
      <c r="L35" s="204"/>
    </row>
    <row r="36" spans="5:12">
      <c r="L36" s="204"/>
    </row>
    <row r="38" spans="5:12">
      <c r="L38" s="204"/>
    </row>
  </sheetData>
  <sheetProtection algorithmName="SHA-512" hashValue="ieZJ5DdDU6fw8DQPKgig5LIo+FoVG4PLDbUsJ09U66/JtAhUmNL7Y9f6i6i115ygsy3PLiMaDQS3dhglZeuqLw==" saltValue="IoqtNtiosJetdG/2V7U67Q=="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239C0-2739-492D-B852-88566C031FA7}">
  <sheetPr codeName="Sheet142"/>
  <dimension ref="A1:M38"/>
  <sheetViews>
    <sheetView zoomScaleNormal="100" workbookViewId="0">
      <selection activeCell="G7" sqref="G7"/>
    </sheetView>
  </sheetViews>
  <sheetFormatPr defaultColWidth="9.109375" defaultRowHeight="13.2"/>
  <cols>
    <col min="1" max="1" width="3.6640625" customWidth="1"/>
    <col min="2" max="3" width="4.88671875" customWidth="1"/>
    <col min="4" max="4" width="35.6640625" customWidth="1"/>
    <col min="5" max="12" width="15.6640625" customWidth="1"/>
    <col min="13" max="13" width="15.33203125" customWidth="1"/>
  </cols>
  <sheetData>
    <row r="1" spans="1:13" ht="8.25" customHeight="1"/>
    <row r="2" spans="1:13" ht="20.399999999999999">
      <c r="B2" s="1131" t="s">
        <v>523</v>
      </c>
      <c r="C2" s="1131"/>
      <c r="D2" s="1131"/>
      <c r="E2" s="1131"/>
      <c r="F2" s="1131"/>
      <c r="G2" s="1131"/>
      <c r="H2" s="1131"/>
      <c r="I2" s="1131"/>
      <c r="J2" s="1131"/>
      <c r="K2" s="1131"/>
      <c r="L2" s="1131"/>
    </row>
    <row r="3" spans="1:13" ht="9.75" customHeight="1" thickBot="1">
      <c r="B3" s="1131"/>
      <c r="C3" s="1131"/>
      <c r="D3" s="1131"/>
      <c r="E3" s="1131"/>
      <c r="F3" s="1131"/>
      <c r="G3" s="1131"/>
      <c r="H3" s="1131"/>
      <c r="I3" s="1131"/>
      <c r="J3" s="1131"/>
      <c r="K3" s="1131"/>
      <c r="L3" s="1131"/>
    </row>
    <row r="4" spans="1:13" ht="13.5" customHeight="1" thickTop="1">
      <c r="B4" s="11"/>
      <c r="C4" s="11"/>
      <c r="D4" s="11"/>
      <c r="E4" s="1331" t="str">
        <f>'35- Cap Fund Imprv Auth'!E4:F6</f>
        <v>Balance - January 1, 2024</v>
      </c>
      <c r="F4" s="1227"/>
      <c r="G4" s="12"/>
      <c r="H4" s="12"/>
      <c r="I4" s="12"/>
      <c r="J4" s="12"/>
      <c r="K4" s="1331" t="str">
        <f>'35- Cap Fund Imprv Auth'!K4:L6</f>
        <v>Balance - December 31, 2024</v>
      </c>
      <c r="L4" s="1336"/>
    </row>
    <row r="5" spans="1:13" ht="13.5" customHeight="1">
      <c r="B5" s="1174" t="s">
        <v>514</v>
      </c>
      <c r="C5" s="1174"/>
      <c r="D5" s="1214"/>
      <c r="E5" s="1332"/>
      <c r="F5" s="1333"/>
      <c r="G5" s="20"/>
      <c r="H5" s="20"/>
      <c r="I5" s="20"/>
      <c r="J5" s="20"/>
      <c r="K5" s="1332"/>
      <c r="L5" s="1337"/>
    </row>
    <row r="6" spans="1:13" ht="13.5" customHeight="1">
      <c r="B6" s="1174" t="s">
        <v>515</v>
      </c>
      <c r="C6" s="1174"/>
      <c r="D6" s="1214"/>
      <c r="E6" s="1334"/>
      <c r="F6" s="1335"/>
      <c r="G6" s="20" t="str">
        <f>IF('KEY INPUTS'!C42="State Fiscal Year","Fiscal Year "&amp;'KEY INPUTS'!D33&amp;"",'KEY INPUTS'!D34)&amp;""</f>
        <v>2024</v>
      </c>
      <c r="H6" s="674" t="s">
        <v>218</v>
      </c>
      <c r="I6" s="20" t="s">
        <v>235</v>
      </c>
      <c r="J6" s="20" t="s">
        <v>519</v>
      </c>
      <c r="K6" s="1334"/>
      <c r="L6" s="1338"/>
    </row>
    <row r="7" spans="1:13" ht="13.5" customHeight="1">
      <c r="B7" s="1174" t="s">
        <v>516</v>
      </c>
      <c r="C7" s="1174"/>
      <c r="D7" s="1214"/>
      <c r="E7" s="13" t="s">
        <v>517</v>
      </c>
      <c r="F7" s="13" t="s">
        <v>518</v>
      </c>
      <c r="G7" s="13" t="s">
        <v>519</v>
      </c>
      <c r="H7" s="13"/>
      <c r="I7" s="13"/>
      <c r="J7" s="13" t="s">
        <v>439</v>
      </c>
      <c r="K7" s="13" t="s">
        <v>517</v>
      </c>
      <c r="L7" s="21" t="s">
        <v>518</v>
      </c>
    </row>
    <row r="8" spans="1:13" ht="13.5" customHeight="1" thickBot="1">
      <c r="B8" s="10"/>
      <c r="C8" s="10"/>
      <c r="D8" s="10"/>
      <c r="E8" s="14"/>
      <c r="F8" s="14"/>
      <c r="G8" s="16"/>
      <c r="H8" s="16"/>
      <c r="I8" s="14"/>
      <c r="J8" s="14"/>
      <c r="K8" s="16"/>
      <c r="L8" s="145"/>
    </row>
    <row r="9" spans="1:13" ht="21" customHeight="1" thickTop="1">
      <c r="B9" s="205" t="s">
        <v>3263</v>
      </c>
      <c r="C9" s="22"/>
      <c r="D9" s="23"/>
      <c r="E9" s="980">
        <f>+'35.2- Cap Fund Imprv Auth'!E28</f>
        <v>471366.23</v>
      </c>
      <c r="F9" s="980">
        <f>+'35.2- Cap Fund Imprv Auth'!F28</f>
        <v>244462.44</v>
      </c>
      <c r="G9" s="980">
        <f>+'35.2- Cap Fund Imprv Auth'!G28</f>
        <v>454885</v>
      </c>
      <c r="H9" s="980">
        <f>+'35.2- Cap Fund Imprv Auth'!H28</f>
        <v>0</v>
      </c>
      <c r="I9" s="980">
        <f>+'35.2- Cap Fund Imprv Auth'!I28</f>
        <v>475334.02</v>
      </c>
      <c r="J9" s="980">
        <f>+'35.2- Cap Fund Imprv Auth'!J28</f>
        <v>0</v>
      </c>
      <c r="K9" s="980">
        <f>+'35.2- Cap Fund Imprv Auth'!K28</f>
        <v>448602.51</v>
      </c>
      <c r="L9" s="981">
        <f>+'35.2- Cap Fund Imprv Auth'!L28</f>
        <v>246777.13999999998</v>
      </c>
    </row>
    <row r="10" spans="1:13" ht="21" customHeight="1">
      <c r="B10" s="999"/>
      <c r="C10" s="999"/>
      <c r="D10" s="1000"/>
      <c r="E10" s="426"/>
      <c r="F10" s="426"/>
      <c r="G10" s="426"/>
      <c r="H10" s="426"/>
      <c r="I10" s="426"/>
      <c r="J10" s="426"/>
      <c r="K10" s="426"/>
      <c r="L10" s="542"/>
    </row>
    <row r="11" spans="1:13" ht="21" customHeight="1">
      <c r="B11" s="999"/>
      <c r="C11" s="999"/>
      <c r="D11" s="1000"/>
      <c r="E11" s="426"/>
      <c r="F11" s="426"/>
      <c r="G11" s="426"/>
      <c r="H11" s="426"/>
      <c r="I11" s="426"/>
      <c r="J11" s="426"/>
      <c r="K11" s="426"/>
      <c r="L11" s="542"/>
    </row>
    <row r="12" spans="1:13" ht="21" customHeight="1">
      <c r="A12" s="1195" t="s">
        <v>3493</v>
      </c>
      <c r="B12" s="999"/>
      <c r="C12" s="999"/>
      <c r="D12" s="1000"/>
      <c r="E12" s="426"/>
      <c r="F12" s="426"/>
      <c r="G12" s="426"/>
      <c r="H12" s="426"/>
      <c r="I12" s="426"/>
      <c r="J12" s="426"/>
      <c r="K12" s="426"/>
      <c r="L12" s="542"/>
      <c r="M12" s="204"/>
    </row>
    <row r="13" spans="1:13" ht="21" customHeight="1">
      <c r="A13" s="1195"/>
      <c r="B13" s="999"/>
      <c r="C13" s="999"/>
      <c r="D13" s="1000"/>
      <c r="E13" s="426"/>
      <c r="F13" s="426"/>
      <c r="G13" s="426"/>
      <c r="H13" s="426"/>
      <c r="I13" s="426"/>
      <c r="J13" s="426"/>
      <c r="K13" s="426"/>
      <c r="L13" s="542"/>
    </row>
    <row r="14" spans="1:13" ht="21" customHeight="1">
      <c r="A14" s="1195"/>
      <c r="B14" s="999"/>
      <c r="C14" s="999"/>
      <c r="D14" s="1000"/>
      <c r="E14" s="426"/>
      <c r="F14" s="426"/>
      <c r="G14" s="426"/>
      <c r="H14" s="426"/>
      <c r="I14" s="426"/>
      <c r="J14" s="426"/>
      <c r="K14" s="426"/>
      <c r="L14" s="542"/>
    </row>
    <row r="15" spans="1:13" ht="21" customHeight="1">
      <c r="A15" s="1195"/>
      <c r="B15" s="999"/>
      <c r="C15" s="999"/>
      <c r="D15" s="1000"/>
      <c r="E15" s="426"/>
      <c r="F15" s="426"/>
      <c r="G15" s="426"/>
      <c r="H15" s="426"/>
      <c r="I15" s="426"/>
      <c r="J15" s="426"/>
      <c r="K15" s="426"/>
      <c r="L15" s="542"/>
    </row>
    <row r="16" spans="1:13" ht="21" customHeight="1">
      <c r="A16" s="1195"/>
      <c r="B16" s="999"/>
      <c r="C16" s="999"/>
      <c r="D16" s="1000"/>
      <c r="E16" s="426"/>
      <c r="F16" s="426"/>
      <c r="G16" s="426"/>
      <c r="H16" s="426"/>
      <c r="I16" s="426"/>
      <c r="J16" s="426"/>
      <c r="K16" s="426"/>
      <c r="L16" s="542"/>
    </row>
    <row r="17" spans="1:13" ht="21" customHeight="1">
      <c r="A17" s="1195"/>
      <c r="B17" s="999"/>
      <c r="C17" s="999"/>
      <c r="D17" s="1000"/>
      <c r="E17" s="426"/>
      <c r="F17" s="426"/>
      <c r="G17" s="426"/>
      <c r="H17" s="426"/>
      <c r="I17" s="426"/>
      <c r="J17" s="426"/>
      <c r="K17" s="426"/>
      <c r="L17" s="542"/>
    </row>
    <row r="18" spans="1:13" ht="21" customHeight="1">
      <c r="A18" s="1195"/>
      <c r="B18" s="999"/>
      <c r="C18" s="999"/>
      <c r="D18" s="1000"/>
      <c r="E18" s="426"/>
      <c r="F18" s="426"/>
      <c r="G18" s="426"/>
      <c r="H18" s="426"/>
      <c r="I18" s="426"/>
      <c r="J18" s="426"/>
      <c r="K18" s="426"/>
      <c r="L18" s="542"/>
    </row>
    <row r="19" spans="1:13" ht="21" customHeight="1">
      <c r="A19" s="1195"/>
      <c r="B19" s="999"/>
      <c r="C19" s="999"/>
      <c r="D19" s="1000"/>
      <c r="E19" s="426"/>
      <c r="F19" s="426"/>
      <c r="G19" s="426"/>
      <c r="H19" s="426"/>
      <c r="I19" s="426"/>
      <c r="J19" s="426"/>
      <c r="K19" s="426"/>
      <c r="L19" s="542"/>
    </row>
    <row r="20" spans="1:13" ht="21" customHeight="1">
      <c r="A20" s="1195"/>
      <c r="B20" s="999"/>
      <c r="C20" s="999"/>
      <c r="D20" s="1000"/>
      <c r="E20" s="426"/>
      <c r="F20" s="426"/>
      <c r="G20" s="426"/>
      <c r="H20" s="426"/>
      <c r="I20" s="426"/>
      <c r="J20" s="426"/>
      <c r="K20" s="426"/>
      <c r="L20" s="542"/>
    </row>
    <row r="21" spans="1:13" ht="21" customHeight="1">
      <c r="A21" s="1195"/>
      <c r="B21" s="999"/>
      <c r="C21" s="999"/>
      <c r="D21" s="1000"/>
      <c r="E21" s="426"/>
      <c r="F21" s="426"/>
      <c r="G21" s="426"/>
      <c r="H21" s="426"/>
      <c r="I21" s="426"/>
      <c r="J21" s="426"/>
      <c r="K21" s="426"/>
      <c r="L21" s="542"/>
    </row>
    <row r="22" spans="1:13" ht="21" customHeight="1">
      <c r="A22" s="1195"/>
      <c r="B22" s="999"/>
      <c r="C22" s="999"/>
      <c r="D22" s="1000"/>
      <c r="E22" s="426"/>
      <c r="F22" s="426"/>
      <c r="G22" s="426"/>
      <c r="H22" s="426"/>
      <c r="I22" s="426"/>
      <c r="J22" s="426"/>
      <c r="K22" s="426"/>
      <c r="L22" s="542"/>
    </row>
    <row r="23" spans="1:13" ht="21" customHeight="1">
      <c r="A23" s="1195"/>
      <c r="B23" s="999"/>
      <c r="C23" s="999"/>
      <c r="D23" s="1000"/>
      <c r="E23" s="426"/>
      <c r="F23" s="426"/>
      <c r="G23" s="426"/>
      <c r="H23" s="426"/>
      <c r="I23" s="426"/>
      <c r="J23" s="426"/>
      <c r="K23" s="426"/>
      <c r="L23" s="542"/>
    </row>
    <row r="24" spans="1:13" ht="21" customHeight="1">
      <c r="A24" s="1195"/>
      <c r="B24" s="999"/>
      <c r="C24" s="999"/>
      <c r="D24" s="1000"/>
      <c r="E24" s="426"/>
      <c r="F24" s="426"/>
      <c r="G24" s="426"/>
      <c r="H24" s="426"/>
      <c r="I24" s="426"/>
      <c r="J24" s="426"/>
      <c r="K24" s="426"/>
      <c r="L24" s="542"/>
      <c r="M24" s="204"/>
    </row>
    <row r="25" spans="1:13" ht="21" customHeight="1">
      <c r="B25" s="999"/>
      <c r="C25" s="999"/>
      <c r="D25" s="1000"/>
      <c r="E25" s="426"/>
      <c r="F25" s="426"/>
      <c r="G25" s="426"/>
      <c r="H25" s="426"/>
      <c r="I25" s="426"/>
      <c r="J25" s="426"/>
      <c r="K25" s="426"/>
      <c r="L25" s="542"/>
    </row>
    <row r="26" spans="1:13" ht="21" customHeight="1">
      <c r="B26" s="999"/>
      <c r="C26" s="999"/>
      <c r="D26" s="1000"/>
      <c r="E26" s="426"/>
      <c r="F26" s="426"/>
      <c r="G26" s="426"/>
      <c r="H26" s="426"/>
      <c r="I26" s="426"/>
      <c r="J26" s="426"/>
      <c r="K26" s="426"/>
      <c r="L26" s="542"/>
    </row>
    <row r="27" spans="1:13" ht="21" customHeight="1" thickBot="1">
      <c r="B27" s="999"/>
      <c r="C27" s="999"/>
      <c r="D27" s="1000"/>
      <c r="E27" s="978"/>
      <c r="F27" s="978"/>
      <c r="G27" s="978"/>
      <c r="H27" s="978"/>
      <c r="I27" s="978"/>
      <c r="J27" s="978"/>
      <c r="K27" s="978"/>
      <c r="L27" s="979"/>
    </row>
    <row r="28" spans="1:13" ht="21" customHeight="1" thickTop="1" thickBot="1">
      <c r="B28" s="140"/>
      <c r="C28" s="27"/>
      <c r="D28" s="604" t="s">
        <v>3262</v>
      </c>
      <c r="E28" s="982">
        <f t="shared" ref="E28:K28" si="0">SUM(E9:E27)</f>
        <v>471366.23</v>
      </c>
      <c r="F28" s="982">
        <f>SUM(F9:F27)</f>
        <v>244462.44</v>
      </c>
      <c r="G28" s="982">
        <f t="shared" si="0"/>
        <v>454885</v>
      </c>
      <c r="H28" s="982">
        <f t="shared" si="0"/>
        <v>0</v>
      </c>
      <c r="I28" s="982">
        <f t="shared" si="0"/>
        <v>475334.02</v>
      </c>
      <c r="J28" s="982">
        <f t="shared" si="0"/>
        <v>0</v>
      </c>
      <c r="K28" s="982">
        <f t="shared" si="0"/>
        <v>448602.51</v>
      </c>
      <c r="L28" s="983">
        <f>SUM(L9:L27)</f>
        <v>246777.13999999998</v>
      </c>
    </row>
    <row r="29" spans="1:13" ht="13.5" customHeight="1" thickTop="1">
      <c r="B29" s="144"/>
      <c r="C29" s="34" t="s">
        <v>521</v>
      </c>
      <c r="D29" s="142"/>
      <c r="K29" s="54"/>
      <c r="L29" s="54"/>
    </row>
    <row r="30" spans="1:13">
      <c r="K30" s="204"/>
      <c r="L30" s="61"/>
    </row>
    <row r="33" spans="5:12">
      <c r="E33" s="204"/>
      <c r="F33" s="204"/>
    </row>
    <row r="34" spans="5:12">
      <c r="K34" s="204"/>
      <c r="L34" s="204"/>
    </row>
    <row r="35" spans="5:12">
      <c r="L35" s="204"/>
    </row>
    <row r="36" spans="5:12">
      <c r="L36" s="204"/>
    </row>
    <row r="38" spans="5:12">
      <c r="L38" s="204"/>
    </row>
  </sheetData>
  <sheetProtection algorithmName="SHA-512" hashValue="qScgtrPh6Xshrjb7zUKvKrTNKZPgablWlwj9r5aek3tjJJPl10JjqAkvOcoi6BDe7bUEpkoDjwHdSZ76YoX3pg==" saltValue="i5n8wQUJsVgGkfD8fWAlYw=="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DE866-89B7-4CC0-9781-7443B4AC5902}">
  <sheetPr codeName="Sheet143"/>
  <dimension ref="A1:M38"/>
  <sheetViews>
    <sheetView zoomScaleNormal="100" workbookViewId="0">
      <selection activeCell="G7" sqref="G7"/>
    </sheetView>
  </sheetViews>
  <sheetFormatPr defaultColWidth="9.109375" defaultRowHeight="13.2"/>
  <cols>
    <col min="1" max="1" width="3.6640625" customWidth="1"/>
    <col min="2" max="3" width="4.88671875" customWidth="1"/>
    <col min="4" max="4" width="35.6640625" customWidth="1"/>
    <col min="5" max="12" width="15.6640625" customWidth="1"/>
    <col min="13" max="13" width="15.33203125" customWidth="1"/>
  </cols>
  <sheetData>
    <row r="1" spans="1:13" ht="8.25" customHeight="1"/>
    <row r="2" spans="1:13" ht="20.399999999999999">
      <c r="B2" s="1131" t="s">
        <v>523</v>
      </c>
      <c r="C2" s="1131"/>
      <c r="D2" s="1131"/>
      <c r="E2" s="1131"/>
      <c r="F2" s="1131"/>
      <c r="G2" s="1131"/>
      <c r="H2" s="1131"/>
      <c r="I2" s="1131"/>
      <c r="J2" s="1131"/>
      <c r="K2" s="1131"/>
      <c r="L2" s="1131"/>
    </row>
    <row r="3" spans="1:13" ht="9.75" customHeight="1" thickBot="1">
      <c r="B3" s="1131"/>
      <c r="C3" s="1131"/>
      <c r="D3" s="1131"/>
      <c r="E3" s="1131"/>
      <c r="F3" s="1131"/>
      <c r="G3" s="1131"/>
      <c r="H3" s="1131"/>
      <c r="I3" s="1131"/>
      <c r="J3" s="1131"/>
      <c r="K3" s="1131"/>
      <c r="L3" s="1131"/>
    </row>
    <row r="4" spans="1:13" ht="13.5" customHeight="1" thickTop="1">
      <c r="B4" s="11"/>
      <c r="C4" s="11"/>
      <c r="D4" s="11"/>
      <c r="E4" s="1331" t="str">
        <f>'35- Cap Fund Imprv Auth'!E4:F6</f>
        <v>Balance - January 1, 2024</v>
      </c>
      <c r="F4" s="1227"/>
      <c r="G4" s="12"/>
      <c r="H4" s="12"/>
      <c r="I4" s="12"/>
      <c r="J4" s="12"/>
      <c r="K4" s="1331" t="str">
        <f>'35- Cap Fund Imprv Auth'!K4:L6</f>
        <v>Balance - December 31, 2024</v>
      </c>
      <c r="L4" s="1336"/>
    </row>
    <row r="5" spans="1:13" ht="13.5" customHeight="1">
      <c r="B5" s="1174" t="s">
        <v>514</v>
      </c>
      <c r="C5" s="1174"/>
      <c r="D5" s="1214"/>
      <c r="E5" s="1332"/>
      <c r="F5" s="1333"/>
      <c r="G5" s="20"/>
      <c r="H5" s="20"/>
      <c r="I5" s="20"/>
      <c r="J5" s="20"/>
      <c r="K5" s="1332"/>
      <c r="L5" s="1337"/>
    </row>
    <row r="6" spans="1:13" ht="13.5" customHeight="1">
      <c r="B6" s="1174" t="s">
        <v>515</v>
      </c>
      <c r="C6" s="1174"/>
      <c r="D6" s="1214"/>
      <c r="E6" s="1334"/>
      <c r="F6" s="1335"/>
      <c r="G6" s="20" t="str">
        <f>IF('KEY INPUTS'!C42="State Fiscal Year","Fiscal Year "&amp;'KEY INPUTS'!D33&amp;"",'KEY INPUTS'!D34)&amp;""</f>
        <v>2024</v>
      </c>
      <c r="H6" s="674" t="s">
        <v>218</v>
      </c>
      <c r="I6" s="20" t="s">
        <v>235</v>
      </c>
      <c r="J6" s="20" t="s">
        <v>519</v>
      </c>
      <c r="K6" s="1334"/>
      <c r="L6" s="1338"/>
    </row>
    <row r="7" spans="1:13" ht="13.5" customHeight="1">
      <c r="B7" s="1174" t="s">
        <v>516</v>
      </c>
      <c r="C7" s="1174"/>
      <c r="D7" s="1214"/>
      <c r="E7" s="13" t="s">
        <v>517</v>
      </c>
      <c r="F7" s="13" t="s">
        <v>518</v>
      </c>
      <c r="G7" s="13" t="s">
        <v>519</v>
      </c>
      <c r="H7" s="13"/>
      <c r="I7" s="13"/>
      <c r="J7" s="13" t="s">
        <v>439</v>
      </c>
      <c r="K7" s="13" t="s">
        <v>517</v>
      </c>
      <c r="L7" s="21" t="s">
        <v>518</v>
      </c>
    </row>
    <row r="8" spans="1:13" ht="13.5" customHeight="1" thickBot="1">
      <c r="B8" s="10"/>
      <c r="C8" s="10"/>
      <c r="D8" s="10"/>
      <c r="E8" s="14"/>
      <c r="F8" s="14"/>
      <c r="G8" s="16"/>
      <c r="H8" s="16"/>
      <c r="I8" s="14"/>
      <c r="J8" s="14"/>
      <c r="K8" s="16"/>
      <c r="L8" s="145"/>
    </row>
    <row r="9" spans="1:13" ht="21" customHeight="1" thickTop="1">
      <c r="B9" s="205" t="s">
        <v>3263</v>
      </c>
      <c r="C9" s="22"/>
      <c r="D9" s="23"/>
      <c r="E9" s="980">
        <f>+'35.3- Cap Fund Imprv Auth'!E28</f>
        <v>471366.23</v>
      </c>
      <c r="F9" s="980">
        <f>+'35.3- Cap Fund Imprv Auth'!F28</f>
        <v>244462.44</v>
      </c>
      <c r="G9" s="980">
        <f>+'35.3- Cap Fund Imprv Auth'!G28</f>
        <v>454885</v>
      </c>
      <c r="H9" s="980">
        <f>+'35.3- Cap Fund Imprv Auth'!H28</f>
        <v>0</v>
      </c>
      <c r="I9" s="980">
        <f>+'35.3- Cap Fund Imprv Auth'!I28</f>
        <v>475334.02</v>
      </c>
      <c r="J9" s="980">
        <f>+'35.3- Cap Fund Imprv Auth'!J28</f>
        <v>0</v>
      </c>
      <c r="K9" s="980">
        <f>+'35.3- Cap Fund Imprv Auth'!K28</f>
        <v>448602.51</v>
      </c>
      <c r="L9" s="981">
        <f>+'35.3- Cap Fund Imprv Auth'!L28</f>
        <v>246777.13999999998</v>
      </c>
    </row>
    <row r="10" spans="1:13" ht="21" customHeight="1">
      <c r="B10" s="999"/>
      <c r="C10" s="999"/>
      <c r="D10" s="1000"/>
      <c r="E10" s="426"/>
      <c r="F10" s="426"/>
      <c r="G10" s="426"/>
      <c r="H10" s="426"/>
      <c r="I10" s="426"/>
      <c r="J10" s="426"/>
      <c r="K10" s="426"/>
      <c r="L10" s="542"/>
    </row>
    <row r="11" spans="1:13" ht="21" customHeight="1">
      <c r="B11" s="999"/>
      <c r="C11" s="999"/>
      <c r="D11" s="1000"/>
      <c r="E11" s="426"/>
      <c r="F11" s="426"/>
      <c r="G11" s="426"/>
      <c r="H11" s="426"/>
      <c r="I11" s="426"/>
      <c r="J11" s="426"/>
      <c r="K11" s="426"/>
      <c r="L11" s="542"/>
    </row>
    <row r="12" spans="1:13" ht="21" customHeight="1">
      <c r="A12" s="1195" t="s">
        <v>3494</v>
      </c>
      <c r="B12" s="999"/>
      <c r="C12" s="999"/>
      <c r="D12" s="1000"/>
      <c r="E12" s="426"/>
      <c r="F12" s="426"/>
      <c r="G12" s="426"/>
      <c r="H12" s="426"/>
      <c r="I12" s="426"/>
      <c r="J12" s="426"/>
      <c r="K12" s="426"/>
      <c r="L12" s="542"/>
      <c r="M12" s="204"/>
    </row>
    <row r="13" spans="1:13" ht="21" customHeight="1">
      <c r="A13" s="1195"/>
      <c r="B13" s="999"/>
      <c r="C13" s="999"/>
      <c r="D13" s="1000"/>
      <c r="E13" s="426"/>
      <c r="F13" s="426"/>
      <c r="G13" s="426"/>
      <c r="H13" s="426"/>
      <c r="I13" s="426"/>
      <c r="J13" s="426"/>
      <c r="K13" s="426"/>
      <c r="L13" s="542"/>
    </row>
    <row r="14" spans="1:13" ht="21" customHeight="1">
      <c r="A14" s="1195"/>
      <c r="B14" s="999"/>
      <c r="C14" s="999"/>
      <c r="D14" s="1000"/>
      <c r="E14" s="426"/>
      <c r="F14" s="426"/>
      <c r="G14" s="426"/>
      <c r="H14" s="426"/>
      <c r="I14" s="426"/>
      <c r="J14" s="426"/>
      <c r="K14" s="426"/>
      <c r="L14" s="542"/>
    </row>
    <row r="15" spans="1:13" ht="21" customHeight="1">
      <c r="A15" s="1195"/>
      <c r="B15" s="999"/>
      <c r="C15" s="999"/>
      <c r="D15" s="1000"/>
      <c r="E15" s="426"/>
      <c r="F15" s="426"/>
      <c r="G15" s="426"/>
      <c r="H15" s="426"/>
      <c r="I15" s="426"/>
      <c r="J15" s="426"/>
      <c r="K15" s="426"/>
      <c r="L15" s="542"/>
    </row>
    <row r="16" spans="1:13" ht="21" customHeight="1">
      <c r="A16" s="1195"/>
      <c r="B16" s="999"/>
      <c r="C16" s="999"/>
      <c r="D16" s="1000"/>
      <c r="E16" s="426"/>
      <c r="F16" s="426"/>
      <c r="G16" s="426"/>
      <c r="H16" s="426"/>
      <c r="I16" s="426"/>
      <c r="J16" s="426"/>
      <c r="K16" s="426"/>
      <c r="L16" s="542"/>
    </row>
    <row r="17" spans="1:13" ht="21" customHeight="1">
      <c r="A17" s="1195"/>
      <c r="B17" s="999"/>
      <c r="C17" s="999"/>
      <c r="D17" s="1000"/>
      <c r="E17" s="426"/>
      <c r="F17" s="426"/>
      <c r="G17" s="426"/>
      <c r="H17" s="426"/>
      <c r="I17" s="426"/>
      <c r="J17" s="426"/>
      <c r="K17" s="426"/>
      <c r="L17" s="542"/>
    </row>
    <row r="18" spans="1:13" ht="21" customHeight="1">
      <c r="A18" s="1195"/>
      <c r="B18" s="999"/>
      <c r="C18" s="999"/>
      <c r="D18" s="1000"/>
      <c r="E18" s="426"/>
      <c r="F18" s="426"/>
      <c r="G18" s="426"/>
      <c r="H18" s="426"/>
      <c r="I18" s="426"/>
      <c r="J18" s="426"/>
      <c r="K18" s="426"/>
      <c r="L18" s="542"/>
    </row>
    <row r="19" spans="1:13" ht="21" customHeight="1">
      <c r="A19" s="1195"/>
      <c r="B19" s="999"/>
      <c r="C19" s="999"/>
      <c r="D19" s="1000"/>
      <c r="E19" s="426"/>
      <c r="F19" s="426"/>
      <c r="G19" s="426"/>
      <c r="H19" s="426"/>
      <c r="I19" s="426"/>
      <c r="J19" s="426"/>
      <c r="K19" s="426"/>
      <c r="L19" s="542"/>
    </row>
    <row r="20" spans="1:13" ht="21" customHeight="1">
      <c r="A20" s="1195"/>
      <c r="B20" s="999"/>
      <c r="C20" s="999"/>
      <c r="D20" s="1000"/>
      <c r="E20" s="426"/>
      <c r="F20" s="426"/>
      <c r="G20" s="426"/>
      <c r="H20" s="426"/>
      <c r="I20" s="426"/>
      <c r="J20" s="426"/>
      <c r="K20" s="426"/>
      <c r="L20" s="542"/>
    </row>
    <row r="21" spans="1:13" ht="21" customHeight="1">
      <c r="A21" s="1195"/>
      <c r="B21" s="999"/>
      <c r="C21" s="999"/>
      <c r="D21" s="1000"/>
      <c r="E21" s="426"/>
      <c r="F21" s="426"/>
      <c r="G21" s="426"/>
      <c r="H21" s="426"/>
      <c r="I21" s="426"/>
      <c r="J21" s="426"/>
      <c r="K21" s="426"/>
      <c r="L21" s="542"/>
    </row>
    <row r="22" spans="1:13" ht="21" customHeight="1">
      <c r="A22" s="1195"/>
      <c r="B22" s="999"/>
      <c r="C22" s="999"/>
      <c r="D22" s="1000"/>
      <c r="E22" s="426"/>
      <c r="F22" s="426"/>
      <c r="G22" s="426"/>
      <c r="H22" s="426"/>
      <c r="I22" s="426"/>
      <c r="J22" s="426"/>
      <c r="K22" s="426"/>
      <c r="L22" s="542"/>
    </row>
    <row r="23" spans="1:13" ht="21" customHeight="1">
      <c r="A23" s="1195"/>
      <c r="B23" s="999"/>
      <c r="C23" s="999"/>
      <c r="D23" s="1000"/>
      <c r="E23" s="426"/>
      <c r="F23" s="426"/>
      <c r="G23" s="426"/>
      <c r="H23" s="426"/>
      <c r="I23" s="426"/>
      <c r="J23" s="426"/>
      <c r="K23" s="426"/>
      <c r="L23" s="542"/>
    </row>
    <row r="24" spans="1:13" ht="21" customHeight="1">
      <c r="A24" s="1195"/>
      <c r="B24" s="999"/>
      <c r="C24" s="999"/>
      <c r="D24" s="1000"/>
      <c r="E24" s="426"/>
      <c r="F24" s="426"/>
      <c r="G24" s="426"/>
      <c r="H24" s="426"/>
      <c r="I24" s="426"/>
      <c r="J24" s="426"/>
      <c r="K24" s="426"/>
      <c r="L24" s="542"/>
      <c r="M24" s="204"/>
    </row>
    <row r="25" spans="1:13" ht="21" customHeight="1">
      <c r="B25" s="999"/>
      <c r="C25" s="999"/>
      <c r="D25" s="1000"/>
      <c r="E25" s="426"/>
      <c r="F25" s="426"/>
      <c r="G25" s="426"/>
      <c r="H25" s="426"/>
      <c r="I25" s="426"/>
      <c r="J25" s="426"/>
      <c r="K25" s="426"/>
      <c r="L25" s="542"/>
    </row>
    <row r="26" spans="1:13" ht="21" customHeight="1">
      <c r="B26" s="999"/>
      <c r="C26" s="999"/>
      <c r="D26" s="1000"/>
      <c r="E26" s="426"/>
      <c r="F26" s="426"/>
      <c r="G26" s="426"/>
      <c r="H26" s="426"/>
      <c r="I26" s="426"/>
      <c r="J26" s="426"/>
      <c r="K26" s="426"/>
      <c r="L26" s="542"/>
    </row>
    <row r="27" spans="1:13" ht="21" customHeight="1" thickBot="1">
      <c r="B27" s="999"/>
      <c r="C27" s="999"/>
      <c r="D27" s="1000"/>
      <c r="E27" s="978"/>
      <c r="F27" s="978"/>
      <c r="G27" s="978"/>
      <c r="H27" s="978"/>
      <c r="I27" s="978"/>
      <c r="J27" s="978"/>
      <c r="K27" s="978"/>
      <c r="L27" s="979"/>
    </row>
    <row r="28" spans="1:13" ht="21" customHeight="1" thickTop="1" thickBot="1">
      <c r="B28" s="140"/>
      <c r="C28" s="27"/>
      <c r="D28" s="604" t="s">
        <v>3262</v>
      </c>
      <c r="E28" s="982">
        <f t="shared" ref="E28:K28" si="0">SUM(E9:E27)</f>
        <v>471366.23</v>
      </c>
      <c r="F28" s="982">
        <f>SUM(F9:F27)</f>
        <v>244462.44</v>
      </c>
      <c r="G28" s="982">
        <f t="shared" si="0"/>
        <v>454885</v>
      </c>
      <c r="H28" s="982">
        <f t="shared" si="0"/>
        <v>0</v>
      </c>
      <c r="I28" s="982">
        <f t="shared" si="0"/>
        <v>475334.02</v>
      </c>
      <c r="J28" s="982">
        <f t="shared" si="0"/>
        <v>0</v>
      </c>
      <c r="K28" s="982">
        <f t="shared" si="0"/>
        <v>448602.51</v>
      </c>
      <c r="L28" s="983">
        <f>SUM(L9:L27)</f>
        <v>246777.13999999998</v>
      </c>
    </row>
    <row r="29" spans="1:13" ht="13.5" customHeight="1" thickTop="1">
      <c r="B29" s="144"/>
      <c r="C29" s="34" t="s">
        <v>521</v>
      </c>
      <c r="D29" s="142"/>
      <c r="K29" s="54"/>
      <c r="L29" s="54"/>
    </row>
    <row r="30" spans="1:13">
      <c r="K30" s="204"/>
      <c r="L30" s="61"/>
    </row>
    <row r="33" spans="5:12">
      <c r="E33" s="204"/>
      <c r="F33" s="204"/>
    </row>
    <row r="34" spans="5:12">
      <c r="K34" s="204"/>
      <c r="L34" s="204"/>
    </row>
    <row r="35" spans="5:12">
      <c r="L35" s="204"/>
    </row>
    <row r="36" spans="5:12">
      <c r="L36" s="204"/>
    </row>
    <row r="38" spans="5:12">
      <c r="L38" s="204"/>
    </row>
  </sheetData>
  <sheetProtection algorithmName="SHA-512" hashValue="uPHFMmdDr1UdK1fqbdWnNKlXoLKzytvGp3VE56ao2leOHZT1kqdrMoTPLHosh519VR5yzTqQ0PXeuK+gSTgi1w==" saltValue="XvApd57oC0qAyOAxz+HPGA=="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06573-94A4-45BC-8448-8C22AD7A9369}">
  <sheetPr codeName="Sheet144"/>
  <dimension ref="A1:M38"/>
  <sheetViews>
    <sheetView zoomScaleNormal="100" workbookViewId="0">
      <selection activeCell="G7" sqref="G7"/>
    </sheetView>
  </sheetViews>
  <sheetFormatPr defaultColWidth="9.109375" defaultRowHeight="13.2"/>
  <cols>
    <col min="1" max="1" width="3.6640625" customWidth="1"/>
    <col min="2" max="3" width="4.88671875" customWidth="1"/>
    <col min="4" max="4" width="35.6640625" customWidth="1"/>
    <col min="5" max="12" width="15.6640625" customWidth="1"/>
    <col min="13" max="13" width="15.33203125" customWidth="1"/>
  </cols>
  <sheetData>
    <row r="1" spans="1:13" ht="8.25" customHeight="1"/>
    <row r="2" spans="1:13" ht="20.399999999999999">
      <c r="B2" s="1131" t="s">
        <v>523</v>
      </c>
      <c r="C2" s="1131"/>
      <c r="D2" s="1131"/>
      <c r="E2" s="1131"/>
      <c r="F2" s="1131"/>
      <c r="G2" s="1131"/>
      <c r="H2" s="1131"/>
      <c r="I2" s="1131"/>
      <c r="J2" s="1131"/>
      <c r="K2" s="1131"/>
      <c r="L2" s="1131"/>
    </row>
    <row r="3" spans="1:13" ht="9.75" customHeight="1" thickBot="1">
      <c r="B3" s="1131"/>
      <c r="C3" s="1131"/>
      <c r="D3" s="1131"/>
      <c r="E3" s="1131"/>
      <c r="F3" s="1131"/>
      <c r="G3" s="1131"/>
      <c r="H3" s="1131"/>
      <c r="I3" s="1131"/>
      <c r="J3" s="1131"/>
      <c r="K3" s="1131"/>
      <c r="L3" s="1131"/>
    </row>
    <row r="4" spans="1:13" ht="13.5" customHeight="1" thickTop="1">
      <c r="B4" s="11"/>
      <c r="C4" s="11"/>
      <c r="D4" s="11"/>
      <c r="E4" s="1331" t="str">
        <f>'35- Cap Fund Imprv Auth'!E4:F6</f>
        <v>Balance - January 1, 2024</v>
      </c>
      <c r="F4" s="1227"/>
      <c r="G4" s="12"/>
      <c r="H4" s="12"/>
      <c r="I4" s="12"/>
      <c r="J4" s="12"/>
      <c r="K4" s="1331" t="str">
        <f>'35- Cap Fund Imprv Auth'!K4:L6</f>
        <v>Balance - December 31, 2024</v>
      </c>
      <c r="L4" s="1336"/>
    </row>
    <row r="5" spans="1:13" ht="13.5" customHeight="1">
      <c r="B5" s="1174" t="s">
        <v>514</v>
      </c>
      <c r="C5" s="1174"/>
      <c r="D5" s="1214"/>
      <c r="E5" s="1332"/>
      <c r="F5" s="1333"/>
      <c r="G5" s="20"/>
      <c r="H5" s="20"/>
      <c r="I5" s="20"/>
      <c r="J5" s="20"/>
      <c r="K5" s="1332"/>
      <c r="L5" s="1337"/>
    </row>
    <row r="6" spans="1:13" ht="13.5" customHeight="1">
      <c r="B6" s="1174" t="s">
        <v>515</v>
      </c>
      <c r="C6" s="1174"/>
      <c r="D6" s="1214"/>
      <c r="E6" s="1334"/>
      <c r="F6" s="1335"/>
      <c r="G6" s="20" t="str">
        <f>IF('KEY INPUTS'!C42="State Fiscal Year","Fiscal Year "&amp;'KEY INPUTS'!D33&amp;"",'KEY INPUTS'!D34)&amp;""</f>
        <v>2024</v>
      </c>
      <c r="H6" s="674" t="s">
        <v>218</v>
      </c>
      <c r="I6" s="20" t="s">
        <v>235</v>
      </c>
      <c r="J6" s="20" t="s">
        <v>519</v>
      </c>
      <c r="K6" s="1334"/>
      <c r="L6" s="1338"/>
    </row>
    <row r="7" spans="1:13" ht="13.5" customHeight="1">
      <c r="B7" s="1174" t="s">
        <v>516</v>
      </c>
      <c r="C7" s="1174"/>
      <c r="D7" s="1214"/>
      <c r="E7" s="13" t="s">
        <v>517</v>
      </c>
      <c r="F7" s="13" t="s">
        <v>518</v>
      </c>
      <c r="G7" s="13" t="s">
        <v>519</v>
      </c>
      <c r="H7" s="13"/>
      <c r="I7" s="13"/>
      <c r="J7" s="13" t="s">
        <v>439</v>
      </c>
      <c r="K7" s="13" t="s">
        <v>517</v>
      </c>
      <c r="L7" s="21" t="s">
        <v>518</v>
      </c>
    </row>
    <row r="8" spans="1:13" ht="13.5" customHeight="1" thickBot="1">
      <c r="B8" s="10"/>
      <c r="C8" s="10"/>
      <c r="D8" s="10"/>
      <c r="E8" s="14"/>
      <c r="F8" s="14"/>
      <c r="G8" s="16"/>
      <c r="H8" s="16"/>
      <c r="I8" s="14"/>
      <c r="J8" s="14"/>
      <c r="K8" s="16"/>
      <c r="L8" s="145"/>
    </row>
    <row r="9" spans="1:13" ht="21" customHeight="1" thickTop="1">
      <c r="B9" s="205" t="s">
        <v>3263</v>
      </c>
      <c r="C9" s="22"/>
      <c r="D9" s="23"/>
      <c r="E9" s="980">
        <f>+'35.4- Cap Fund Imprv Auth'!E28</f>
        <v>471366.23</v>
      </c>
      <c r="F9" s="980">
        <f>+'35.4- Cap Fund Imprv Auth'!F28</f>
        <v>244462.44</v>
      </c>
      <c r="G9" s="980">
        <f>+'35.4- Cap Fund Imprv Auth'!G28</f>
        <v>454885</v>
      </c>
      <c r="H9" s="980">
        <f>+'35.4- Cap Fund Imprv Auth'!H28</f>
        <v>0</v>
      </c>
      <c r="I9" s="980">
        <f>+'35.4- Cap Fund Imprv Auth'!I28</f>
        <v>475334.02</v>
      </c>
      <c r="J9" s="980">
        <f>+'35.4- Cap Fund Imprv Auth'!J28</f>
        <v>0</v>
      </c>
      <c r="K9" s="980">
        <f>+'35.4- Cap Fund Imprv Auth'!K28</f>
        <v>448602.51</v>
      </c>
      <c r="L9" s="981">
        <f>+'35.4- Cap Fund Imprv Auth'!L28</f>
        <v>246777.13999999998</v>
      </c>
    </row>
    <row r="10" spans="1:13" ht="21" customHeight="1">
      <c r="B10" s="999"/>
      <c r="C10" s="999"/>
      <c r="D10" s="1000"/>
      <c r="E10" s="426"/>
      <c r="F10" s="426"/>
      <c r="G10" s="426"/>
      <c r="H10" s="426"/>
      <c r="I10" s="426"/>
      <c r="J10" s="426"/>
      <c r="K10" s="426"/>
      <c r="L10" s="542"/>
    </row>
    <row r="11" spans="1:13" ht="21" customHeight="1">
      <c r="B11" s="999"/>
      <c r="C11" s="999"/>
      <c r="D11" s="1000"/>
      <c r="E11" s="426"/>
      <c r="F11" s="426"/>
      <c r="G11" s="426"/>
      <c r="H11" s="426"/>
      <c r="I11" s="426"/>
      <c r="J11" s="426"/>
      <c r="K11" s="426"/>
      <c r="L11" s="542"/>
    </row>
    <row r="12" spans="1:13" ht="21" customHeight="1">
      <c r="A12" s="1195" t="s">
        <v>3495</v>
      </c>
      <c r="B12" s="999"/>
      <c r="C12" s="999"/>
      <c r="D12" s="1000"/>
      <c r="E12" s="426"/>
      <c r="F12" s="426"/>
      <c r="G12" s="426"/>
      <c r="H12" s="426"/>
      <c r="I12" s="426"/>
      <c r="J12" s="426"/>
      <c r="K12" s="426"/>
      <c r="L12" s="542"/>
      <c r="M12" s="204"/>
    </row>
    <row r="13" spans="1:13" ht="21" customHeight="1">
      <c r="A13" s="1195"/>
      <c r="B13" s="999"/>
      <c r="C13" s="999"/>
      <c r="D13" s="1000"/>
      <c r="E13" s="426"/>
      <c r="F13" s="426"/>
      <c r="G13" s="426"/>
      <c r="H13" s="426"/>
      <c r="I13" s="426"/>
      <c r="J13" s="426"/>
      <c r="K13" s="426"/>
      <c r="L13" s="542"/>
    </row>
    <row r="14" spans="1:13" ht="21" customHeight="1">
      <c r="A14" s="1195"/>
      <c r="B14" s="999"/>
      <c r="C14" s="999"/>
      <c r="D14" s="1000"/>
      <c r="E14" s="426"/>
      <c r="F14" s="426"/>
      <c r="G14" s="426"/>
      <c r="H14" s="426"/>
      <c r="I14" s="426"/>
      <c r="J14" s="426"/>
      <c r="K14" s="426"/>
      <c r="L14" s="542"/>
    </row>
    <row r="15" spans="1:13" ht="21" customHeight="1">
      <c r="A15" s="1195"/>
      <c r="B15" s="999"/>
      <c r="C15" s="999"/>
      <c r="D15" s="1000"/>
      <c r="E15" s="426"/>
      <c r="F15" s="426"/>
      <c r="G15" s="426"/>
      <c r="H15" s="426"/>
      <c r="I15" s="426"/>
      <c r="J15" s="426"/>
      <c r="K15" s="426"/>
      <c r="L15" s="542"/>
    </row>
    <row r="16" spans="1:13" ht="21" customHeight="1">
      <c r="A16" s="1195"/>
      <c r="B16" s="999"/>
      <c r="C16" s="999"/>
      <c r="D16" s="1000"/>
      <c r="E16" s="426"/>
      <c r="F16" s="426"/>
      <c r="G16" s="426"/>
      <c r="H16" s="426"/>
      <c r="I16" s="426"/>
      <c r="J16" s="426"/>
      <c r="K16" s="426"/>
      <c r="L16" s="542"/>
    </row>
    <row r="17" spans="1:13" ht="21" customHeight="1">
      <c r="A17" s="1195"/>
      <c r="B17" s="999"/>
      <c r="C17" s="999"/>
      <c r="D17" s="1000"/>
      <c r="E17" s="426"/>
      <c r="F17" s="426"/>
      <c r="G17" s="426"/>
      <c r="H17" s="426"/>
      <c r="I17" s="426"/>
      <c r="J17" s="426"/>
      <c r="K17" s="426"/>
      <c r="L17" s="542"/>
    </row>
    <row r="18" spans="1:13" ht="21" customHeight="1">
      <c r="A18" s="1195"/>
      <c r="B18" s="999"/>
      <c r="C18" s="999"/>
      <c r="D18" s="1000"/>
      <c r="E18" s="426"/>
      <c r="F18" s="426"/>
      <c r="G18" s="426"/>
      <c r="H18" s="426"/>
      <c r="I18" s="426"/>
      <c r="J18" s="426"/>
      <c r="K18" s="426"/>
      <c r="L18" s="542"/>
    </row>
    <row r="19" spans="1:13" ht="21" customHeight="1">
      <c r="A19" s="1195"/>
      <c r="B19" s="999"/>
      <c r="C19" s="999"/>
      <c r="D19" s="1000"/>
      <c r="E19" s="426"/>
      <c r="F19" s="426"/>
      <c r="G19" s="426"/>
      <c r="H19" s="426"/>
      <c r="I19" s="426"/>
      <c r="J19" s="426"/>
      <c r="K19" s="426"/>
      <c r="L19" s="542"/>
    </row>
    <row r="20" spans="1:13" ht="21" customHeight="1">
      <c r="A20" s="1195"/>
      <c r="B20" s="999"/>
      <c r="C20" s="999"/>
      <c r="D20" s="1000"/>
      <c r="E20" s="426"/>
      <c r="F20" s="426"/>
      <c r="G20" s="426"/>
      <c r="H20" s="426"/>
      <c r="I20" s="426"/>
      <c r="J20" s="426"/>
      <c r="K20" s="426"/>
      <c r="L20" s="542"/>
    </row>
    <row r="21" spans="1:13" ht="21" customHeight="1">
      <c r="A21" s="1195"/>
      <c r="B21" s="999"/>
      <c r="C21" s="999"/>
      <c r="D21" s="1000"/>
      <c r="E21" s="426"/>
      <c r="F21" s="426"/>
      <c r="G21" s="426"/>
      <c r="H21" s="426"/>
      <c r="I21" s="426"/>
      <c r="J21" s="426"/>
      <c r="K21" s="426"/>
      <c r="L21" s="542"/>
    </row>
    <row r="22" spans="1:13" ht="21" customHeight="1">
      <c r="A22" s="1195"/>
      <c r="B22" s="999"/>
      <c r="C22" s="999"/>
      <c r="D22" s="1000"/>
      <c r="E22" s="426"/>
      <c r="F22" s="426"/>
      <c r="G22" s="426"/>
      <c r="H22" s="426"/>
      <c r="I22" s="426"/>
      <c r="J22" s="426"/>
      <c r="K22" s="426"/>
      <c r="L22" s="542"/>
    </row>
    <row r="23" spans="1:13" ht="21" customHeight="1">
      <c r="A23" s="1195"/>
      <c r="B23" s="999"/>
      <c r="C23" s="999"/>
      <c r="D23" s="1000"/>
      <c r="E23" s="426"/>
      <c r="F23" s="426"/>
      <c r="G23" s="426"/>
      <c r="H23" s="426"/>
      <c r="I23" s="426"/>
      <c r="J23" s="426"/>
      <c r="K23" s="426"/>
      <c r="L23" s="542"/>
    </row>
    <row r="24" spans="1:13" ht="21" customHeight="1">
      <c r="A24" s="1195"/>
      <c r="B24" s="999"/>
      <c r="C24" s="999"/>
      <c r="D24" s="1000"/>
      <c r="E24" s="426"/>
      <c r="F24" s="426"/>
      <c r="G24" s="426"/>
      <c r="H24" s="426"/>
      <c r="I24" s="426"/>
      <c r="J24" s="426"/>
      <c r="K24" s="426"/>
      <c r="L24" s="542"/>
      <c r="M24" s="204"/>
    </row>
    <row r="25" spans="1:13" ht="21" customHeight="1">
      <c r="B25" s="999"/>
      <c r="C25" s="999"/>
      <c r="D25" s="1000"/>
      <c r="E25" s="426"/>
      <c r="F25" s="426"/>
      <c r="G25" s="426"/>
      <c r="H25" s="426"/>
      <c r="I25" s="426"/>
      <c r="J25" s="426"/>
      <c r="K25" s="426"/>
      <c r="L25" s="542"/>
    </row>
    <row r="26" spans="1:13" ht="21" customHeight="1">
      <c r="B26" s="999"/>
      <c r="C26" s="999"/>
      <c r="D26" s="1000"/>
      <c r="E26" s="426"/>
      <c r="F26" s="426"/>
      <c r="G26" s="426"/>
      <c r="H26" s="426"/>
      <c r="I26" s="426"/>
      <c r="J26" s="426"/>
      <c r="K26" s="426"/>
      <c r="L26" s="542"/>
    </row>
    <row r="27" spans="1:13" ht="21" customHeight="1" thickBot="1">
      <c r="B27" s="999"/>
      <c r="C27" s="999"/>
      <c r="D27" s="1000"/>
      <c r="E27" s="978"/>
      <c r="F27" s="978"/>
      <c r="G27" s="978"/>
      <c r="H27" s="978"/>
      <c r="I27" s="978"/>
      <c r="J27" s="978"/>
      <c r="K27" s="978"/>
      <c r="L27" s="979"/>
    </row>
    <row r="28" spans="1:13" ht="21" customHeight="1" thickTop="1" thickBot="1">
      <c r="B28" s="140"/>
      <c r="C28" s="27"/>
      <c r="D28" s="604" t="s">
        <v>3262</v>
      </c>
      <c r="E28" s="982">
        <f t="shared" ref="E28:K28" si="0">SUM(E9:E27)</f>
        <v>471366.23</v>
      </c>
      <c r="F28" s="982">
        <f>SUM(F9:F27)</f>
        <v>244462.44</v>
      </c>
      <c r="G28" s="982">
        <f t="shared" si="0"/>
        <v>454885</v>
      </c>
      <c r="H28" s="982">
        <f t="shared" si="0"/>
        <v>0</v>
      </c>
      <c r="I28" s="982">
        <f t="shared" si="0"/>
        <v>475334.02</v>
      </c>
      <c r="J28" s="982">
        <f t="shared" si="0"/>
        <v>0</v>
      </c>
      <c r="K28" s="982">
        <f t="shared" si="0"/>
        <v>448602.51</v>
      </c>
      <c r="L28" s="983">
        <f>SUM(L9:L27)</f>
        <v>246777.13999999998</v>
      </c>
    </row>
    <row r="29" spans="1:13" ht="13.5" customHeight="1" thickTop="1">
      <c r="B29" s="144"/>
      <c r="C29" s="34" t="s">
        <v>521</v>
      </c>
      <c r="D29" s="142"/>
      <c r="K29" s="54"/>
      <c r="L29" s="54"/>
    </row>
    <row r="30" spans="1:13">
      <c r="K30" s="204"/>
      <c r="L30" s="61"/>
    </row>
    <row r="33" spans="5:12">
      <c r="E33" s="204"/>
      <c r="F33" s="204"/>
    </row>
    <row r="34" spans="5:12">
      <c r="K34" s="204"/>
      <c r="L34" s="204"/>
    </row>
    <row r="35" spans="5:12">
      <c r="L35" s="204"/>
    </row>
    <row r="36" spans="5:12">
      <c r="L36" s="204"/>
    </row>
    <row r="38" spans="5:12">
      <c r="L38" s="204"/>
    </row>
  </sheetData>
  <sheetProtection algorithmName="SHA-512" hashValue="BhFh0uETseNCbqVpA/uzFW85SLzh3faCEF9S1u4FLorzb5x7LB4awGr39BGkG5y6+D682AD4dd14JlFTaumCkw==" saltValue="QtQpLyjruoZOw5t6amm54A=="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CB6BF-989D-415B-8437-8C076F5DA38C}">
  <sheetPr codeName="Sheet145"/>
  <dimension ref="A1:M38"/>
  <sheetViews>
    <sheetView zoomScaleNormal="100" workbookViewId="0">
      <selection activeCell="G7" sqref="G7"/>
    </sheetView>
  </sheetViews>
  <sheetFormatPr defaultColWidth="9.109375" defaultRowHeight="13.2"/>
  <cols>
    <col min="1" max="1" width="3.6640625" customWidth="1"/>
    <col min="2" max="3" width="4.88671875" customWidth="1"/>
    <col min="4" max="4" width="35.6640625" customWidth="1"/>
    <col min="5" max="12" width="15.6640625" customWidth="1"/>
    <col min="13" max="13" width="15.33203125" customWidth="1"/>
  </cols>
  <sheetData>
    <row r="1" spans="1:13" ht="8.25" customHeight="1"/>
    <row r="2" spans="1:13" ht="20.399999999999999">
      <c r="B2" s="1131" t="s">
        <v>523</v>
      </c>
      <c r="C2" s="1131"/>
      <c r="D2" s="1131"/>
      <c r="E2" s="1131"/>
      <c r="F2" s="1131"/>
      <c r="G2" s="1131"/>
      <c r="H2" s="1131"/>
      <c r="I2" s="1131"/>
      <c r="J2" s="1131"/>
      <c r="K2" s="1131"/>
      <c r="L2" s="1131"/>
    </row>
    <row r="3" spans="1:13" ht="9.75" customHeight="1" thickBot="1">
      <c r="B3" s="1131"/>
      <c r="C3" s="1131"/>
      <c r="D3" s="1131"/>
      <c r="E3" s="1131"/>
      <c r="F3" s="1131"/>
      <c r="G3" s="1131"/>
      <c r="H3" s="1131"/>
      <c r="I3" s="1131"/>
      <c r="J3" s="1131"/>
      <c r="K3" s="1131"/>
      <c r="L3" s="1131"/>
    </row>
    <row r="4" spans="1:13" ht="13.5" customHeight="1" thickTop="1">
      <c r="B4" s="11"/>
      <c r="C4" s="11"/>
      <c r="D4" s="11"/>
      <c r="E4" s="1331" t="str">
        <f>'35- Cap Fund Imprv Auth'!E4:F6</f>
        <v>Balance - January 1, 2024</v>
      </c>
      <c r="F4" s="1227"/>
      <c r="G4" s="12"/>
      <c r="H4" s="12"/>
      <c r="I4" s="12"/>
      <c r="J4" s="12"/>
      <c r="K4" s="1331" t="str">
        <f>'35- Cap Fund Imprv Auth'!K4:L6</f>
        <v>Balance - December 31, 2024</v>
      </c>
      <c r="L4" s="1336"/>
    </row>
    <row r="5" spans="1:13" ht="13.5" customHeight="1">
      <c r="B5" s="1174" t="s">
        <v>514</v>
      </c>
      <c r="C5" s="1174"/>
      <c r="D5" s="1214"/>
      <c r="E5" s="1332"/>
      <c r="F5" s="1333"/>
      <c r="G5" s="20"/>
      <c r="H5" s="20"/>
      <c r="I5" s="20"/>
      <c r="J5" s="20"/>
      <c r="K5" s="1332"/>
      <c r="L5" s="1337"/>
    </row>
    <row r="6" spans="1:13" ht="13.5" customHeight="1">
      <c r="B6" s="1174" t="s">
        <v>515</v>
      </c>
      <c r="C6" s="1174"/>
      <c r="D6" s="1214"/>
      <c r="E6" s="1334"/>
      <c r="F6" s="1335"/>
      <c r="G6" s="20" t="str">
        <f>IF('KEY INPUTS'!C42="State Fiscal Year","Fiscal Year "&amp;'KEY INPUTS'!D33&amp;"",'KEY INPUTS'!D34)&amp;""</f>
        <v>2024</v>
      </c>
      <c r="H6" s="674" t="s">
        <v>218</v>
      </c>
      <c r="I6" s="20" t="s">
        <v>235</v>
      </c>
      <c r="J6" s="20" t="s">
        <v>519</v>
      </c>
      <c r="K6" s="1334"/>
      <c r="L6" s="1338"/>
    </row>
    <row r="7" spans="1:13" ht="13.5" customHeight="1">
      <c r="B7" s="1174" t="s">
        <v>516</v>
      </c>
      <c r="C7" s="1174"/>
      <c r="D7" s="1214"/>
      <c r="E7" s="13" t="s">
        <v>517</v>
      </c>
      <c r="F7" s="13" t="s">
        <v>518</v>
      </c>
      <c r="G7" s="13" t="s">
        <v>519</v>
      </c>
      <c r="H7" s="13"/>
      <c r="I7" s="13"/>
      <c r="J7" s="13" t="s">
        <v>439</v>
      </c>
      <c r="K7" s="13" t="s">
        <v>517</v>
      </c>
      <c r="L7" s="21" t="s">
        <v>518</v>
      </c>
    </row>
    <row r="8" spans="1:13" ht="13.5" customHeight="1" thickBot="1">
      <c r="B8" s="10"/>
      <c r="C8" s="10"/>
      <c r="D8" s="10"/>
      <c r="E8" s="14"/>
      <c r="F8" s="14"/>
      <c r="G8" s="16"/>
      <c r="H8" s="16"/>
      <c r="I8" s="14"/>
      <c r="J8" s="14"/>
      <c r="K8" s="16"/>
      <c r="L8" s="145"/>
    </row>
    <row r="9" spans="1:13" ht="21" customHeight="1" thickTop="1">
      <c r="B9" s="205" t="s">
        <v>3263</v>
      </c>
      <c r="C9" s="22"/>
      <c r="D9" s="23"/>
      <c r="E9" s="980">
        <f>+'35.5- Cap Fund Imprv Auth'!E28</f>
        <v>471366.23</v>
      </c>
      <c r="F9" s="980">
        <f>+'35.5- Cap Fund Imprv Auth'!F28</f>
        <v>244462.44</v>
      </c>
      <c r="G9" s="980">
        <f>+'35.5- Cap Fund Imprv Auth'!G28</f>
        <v>454885</v>
      </c>
      <c r="H9" s="980">
        <f>+'35.5- Cap Fund Imprv Auth'!H28</f>
        <v>0</v>
      </c>
      <c r="I9" s="980">
        <f>+'35.5- Cap Fund Imprv Auth'!I28</f>
        <v>475334.02</v>
      </c>
      <c r="J9" s="980">
        <f>+'35.5- Cap Fund Imprv Auth'!J28</f>
        <v>0</v>
      </c>
      <c r="K9" s="980">
        <f>+'35.5- Cap Fund Imprv Auth'!K28</f>
        <v>448602.51</v>
      </c>
      <c r="L9" s="981">
        <f>+'35.5- Cap Fund Imprv Auth'!L28</f>
        <v>246777.13999999998</v>
      </c>
    </row>
    <row r="10" spans="1:13" ht="21" customHeight="1">
      <c r="B10" s="999"/>
      <c r="C10" s="999"/>
      <c r="D10" s="1000"/>
      <c r="E10" s="426"/>
      <c r="F10" s="426"/>
      <c r="G10" s="426"/>
      <c r="H10" s="426"/>
      <c r="I10" s="426"/>
      <c r="J10" s="426"/>
      <c r="K10" s="426"/>
      <c r="L10" s="542"/>
    </row>
    <row r="11" spans="1:13" ht="21" customHeight="1">
      <c r="B11" s="999"/>
      <c r="C11" s="999"/>
      <c r="D11" s="1000"/>
      <c r="E11" s="426"/>
      <c r="F11" s="426"/>
      <c r="G11" s="426"/>
      <c r="H11" s="426"/>
      <c r="I11" s="426"/>
      <c r="J11" s="426"/>
      <c r="K11" s="426"/>
      <c r="L11" s="542"/>
    </row>
    <row r="12" spans="1:13" ht="21" customHeight="1">
      <c r="A12" s="1195" t="s">
        <v>3496</v>
      </c>
      <c r="B12" s="999"/>
      <c r="C12" s="999"/>
      <c r="D12" s="1000"/>
      <c r="E12" s="426"/>
      <c r="F12" s="426"/>
      <c r="G12" s="426"/>
      <c r="H12" s="426"/>
      <c r="I12" s="426"/>
      <c r="J12" s="426"/>
      <c r="K12" s="426"/>
      <c r="L12" s="542"/>
      <c r="M12" s="204"/>
    </row>
    <row r="13" spans="1:13" ht="21" customHeight="1">
      <c r="A13" s="1195"/>
      <c r="B13" s="999"/>
      <c r="C13" s="999"/>
      <c r="D13" s="1000"/>
      <c r="E13" s="426"/>
      <c r="F13" s="426"/>
      <c r="G13" s="426"/>
      <c r="H13" s="426"/>
      <c r="I13" s="426"/>
      <c r="J13" s="426"/>
      <c r="K13" s="426"/>
      <c r="L13" s="542"/>
    </row>
    <row r="14" spans="1:13" ht="21" customHeight="1">
      <c r="A14" s="1195"/>
      <c r="B14" s="999"/>
      <c r="C14" s="999"/>
      <c r="D14" s="1000"/>
      <c r="E14" s="426"/>
      <c r="F14" s="426"/>
      <c r="G14" s="426"/>
      <c r="H14" s="426"/>
      <c r="I14" s="426"/>
      <c r="J14" s="426"/>
      <c r="K14" s="426"/>
      <c r="L14" s="542"/>
    </row>
    <row r="15" spans="1:13" ht="21" customHeight="1">
      <c r="A15" s="1195"/>
      <c r="B15" s="999"/>
      <c r="C15" s="999"/>
      <c r="D15" s="1000"/>
      <c r="E15" s="426"/>
      <c r="F15" s="426"/>
      <c r="G15" s="426"/>
      <c r="H15" s="426"/>
      <c r="I15" s="426"/>
      <c r="J15" s="426"/>
      <c r="K15" s="426"/>
      <c r="L15" s="542"/>
    </row>
    <row r="16" spans="1:13" ht="21" customHeight="1">
      <c r="A16" s="1195"/>
      <c r="B16" s="999"/>
      <c r="C16" s="999"/>
      <c r="D16" s="1000"/>
      <c r="E16" s="426"/>
      <c r="F16" s="426"/>
      <c r="G16" s="426"/>
      <c r="H16" s="426"/>
      <c r="I16" s="426"/>
      <c r="J16" s="426"/>
      <c r="K16" s="426"/>
      <c r="L16" s="542"/>
    </row>
    <row r="17" spans="1:13" ht="21" customHeight="1">
      <c r="A17" s="1195"/>
      <c r="B17" s="999"/>
      <c r="C17" s="999"/>
      <c r="D17" s="1000"/>
      <c r="E17" s="426"/>
      <c r="F17" s="426"/>
      <c r="G17" s="426"/>
      <c r="H17" s="426"/>
      <c r="I17" s="426"/>
      <c r="J17" s="426"/>
      <c r="K17" s="426"/>
      <c r="L17" s="542"/>
    </row>
    <row r="18" spans="1:13" ht="21" customHeight="1">
      <c r="A18" s="1195"/>
      <c r="B18" s="999"/>
      <c r="C18" s="999"/>
      <c r="D18" s="1000"/>
      <c r="E18" s="426"/>
      <c r="F18" s="426"/>
      <c r="G18" s="426"/>
      <c r="H18" s="426"/>
      <c r="I18" s="426"/>
      <c r="J18" s="426"/>
      <c r="K18" s="426"/>
      <c r="L18" s="542"/>
    </row>
    <row r="19" spans="1:13" ht="21" customHeight="1">
      <c r="A19" s="1195"/>
      <c r="B19" s="999"/>
      <c r="C19" s="999"/>
      <c r="D19" s="1000"/>
      <c r="E19" s="426"/>
      <c r="F19" s="426"/>
      <c r="G19" s="426"/>
      <c r="H19" s="426"/>
      <c r="I19" s="426"/>
      <c r="J19" s="426"/>
      <c r="K19" s="426"/>
      <c r="L19" s="542"/>
    </row>
    <row r="20" spans="1:13" ht="21" customHeight="1">
      <c r="A20" s="1195"/>
      <c r="B20" s="999"/>
      <c r="C20" s="999"/>
      <c r="D20" s="1000"/>
      <c r="E20" s="426"/>
      <c r="F20" s="426"/>
      <c r="G20" s="426"/>
      <c r="H20" s="426"/>
      <c r="I20" s="426"/>
      <c r="J20" s="426"/>
      <c r="K20" s="426"/>
      <c r="L20" s="542"/>
    </row>
    <row r="21" spans="1:13" ht="21" customHeight="1">
      <c r="A21" s="1195"/>
      <c r="B21" s="999"/>
      <c r="C21" s="999"/>
      <c r="D21" s="1000"/>
      <c r="E21" s="426"/>
      <c r="F21" s="426"/>
      <c r="G21" s="426"/>
      <c r="H21" s="426"/>
      <c r="I21" s="426"/>
      <c r="J21" s="426"/>
      <c r="K21" s="426"/>
      <c r="L21" s="542"/>
    </row>
    <row r="22" spans="1:13" ht="21" customHeight="1">
      <c r="A22" s="1195"/>
      <c r="B22" s="999"/>
      <c r="C22" s="999"/>
      <c r="D22" s="1000"/>
      <c r="E22" s="426"/>
      <c r="F22" s="426"/>
      <c r="G22" s="426"/>
      <c r="H22" s="426"/>
      <c r="I22" s="426"/>
      <c r="J22" s="426"/>
      <c r="K22" s="426"/>
      <c r="L22" s="542"/>
    </row>
    <row r="23" spans="1:13" ht="21" customHeight="1">
      <c r="A23" s="1195"/>
      <c r="B23" s="999"/>
      <c r="C23" s="999"/>
      <c r="D23" s="1000"/>
      <c r="E23" s="426"/>
      <c r="F23" s="426"/>
      <c r="G23" s="426"/>
      <c r="H23" s="426"/>
      <c r="I23" s="426"/>
      <c r="J23" s="426"/>
      <c r="K23" s="426"/>
      <c r="L23" s="542"/>
    </row>
    <row r="24" spans="1:13" ht="21" customHeight="1">
      <c r="A24" s="1195"/>
      <c r="B24" s="999"/>
      <c r="C24" s="999"/>
      <c r="D24" s="1000"/>
      <c r="E24" s="426"/>
      <c r="F24" s="426"/>
      <c r="G24" s="426"/>
      <c r="H24" s="426"/>
      <c r="I24" s="426"/>
      <c r="J24" s="426"/>
      <c r="K24" s="426"/>
      <c r="L24" s="542"/>
      <c r="M24" s="204"/>
    </row>
    <row r="25" spans="1:13" ht="21" customHeight="1">
      <c r="B25" s="999"/>
      <c r="C25" s="999"/>
      <c r="D25" s="1000"/>
      <c r="E25" s="426"/>
      <c r="F25" s="426"/>
      <c r="G25" s="426"/>
      <c r="H25" s="426"/>
      <c r="I25" s="426"/>
      <c r="J25" s="426"/>
      <c r="K25" s="426"/>
      <c r="L25" s="542"/>
    </row>
    <row r="26" spans="1:13" ht="21" customHeight="1">
      <c r="B26" s="999"/>
      <c r="C26" s="999"/>
      <c r="D26" s="1000"/>
      <c r="E26" s="426"/>
      <c r="F26" s="426"/>
      <c r="G26" s="426"/>
      <c r="H26" s="426"/>
      <c r="I26" s="426"/>
      <c r="J26" s="426"/>
      <c r="K26" s="426"/>
      <c r="L26" s="542"/>
    </row>
    <row r="27" spans="1:13" ht="21" customHeight="1" thickBot="1">
      <c r="B27" s="999"/>
      <c r="C27" s="999"/>
      <c r="D27" s="1000"/>
      <c r="E27" s="978"/>
      <c r="F27" s="978"/>
      <c r="G27" s="978"/>
      <c r="H27" s="978"/>
      <c r="I27" s="978"/>
      <c r="J27" s="978"/>
      <c r="K27" s="978"/>
      <c r="L27" s="979"/>
    </row>
    <row r="28" spans="1:13" ht="21" customHeight="1" thickTop="1" thickBot="1">
      <c r="B28" s="140"/>
      <c r="C28" s="27"/>
      <c r="D28" s="604" t="s">
        <v>3262</v>
      </c>
      <c r="E28" s="982">
        <f t="shared" ref="E28:K28" si="0">SUM(E9:E27)</f>
        <v>471366.23</v>
      </c>
      <c r="F28" s="982">
        <f>SUM(F9:F27)</f>
        <v>244462.44</v>
      </c>
      <c r="G28" s="982">
        <f t="shared" si="0"/>
        <v>454885</v>
      </c>
      <c r="H28" s="982">
        <f t="shared" si="0"/>
        <v>0</v>
      </c>
      <c r="I28" s="982">
        <f t="shared" si="0"/>
        <v>475334.02</v>
      </c>
      <c r="J28" s="982">
        <f t="shared" si="0"/>
        <v>0</v>
      </c>
      <c r="K28" s="982">
        <f t="shared" si="0"/>
        <v>448602.51</v>
      </c>
      <c r="L28" s="983">
        <f>SUM(L9:L27)</f>
        <v>246777.13999999998</v>
      </c>
    </row>
    <row r="29" spans="1:13" ht="13.5" customHeight="1" thickTop="1">
      <c r="B29" s="144"/>
      <c r="C29" s="34" t="s">
        <v>521</v>
      </c>
      <c r="D29" s="142"/>
      <c r="K29" s="54"/>
      <c r="L29" s="54"/>
    </row>
    <row r="30" spans="1:13">
      <c r="K30" s="204"/>
      <c r="L30" s="61"/>
    </row>
    <row r="33" spans="5:12">
      <c r="E33" s="204"/>
      <c r="F33" s="204"/>
    </row>
    <row r="34" spans="5:12">
      <c r="K34" s="204"/>
      <c r="L34" s="204"/>
    </row>
    <row r="35" spans="5:12">
      <c r="L35" s="204"/>
    </row>
    <row r="36" spans="5:12">
      <c r="L36" s="204"/>
    </row>
    <row r="38" spans="5:12">
      <c r="L38" s="204"/>
    </row>
  </sheetData>
  <sheetProtection algorithmName="SHA-512" hashValue="qYYzpbIbkJ8MYYxTMUQtWnSs4vhKkSMn2R1NOQoNiEnatslhDqzCEmojnqvsxafVu4gQiT5DJEl8A6z2lN+Qpw==" saltValue="nRhdt/Spr/H6RTDLgBqe3w=="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17F7F-1DE5-49EA-8575-93D0908049F5}">
  <sheetPr codeName="Sheet146"/>
  <dimension ref="A1:M38"/>
  <sheetViews>
    <sheetView zoomScaleNormal="100" workbookViewId="0">
      <selection activeCell="G7" sqref="G7"/>
    </sheetView>
  </sheetViews>
  <sheetFormatPr defaultColWidth="9.109375" defaultRowHeight="13.2"/>
  <cols>
    <col min="1" max="1" width="3.6640625" customWidth="1"/>
    <col min="2" max="3" width="4.88671875" customWidth="1"/>
    <col min="4" max="4" width="35.6640625" customWidth="1"/>
    <col min="5" max="12" width="15.6640625" customWidth="1"/>
    <col min="13" max="13" width="15.33203125" customWidth="1"/>
  </cols>
  <sheetData>
    <row r="1" spans="1:13" ht="8.25" customHeight="1"/>
    <row r="2" spans="1:13" ht="20.399999999999999">
      <c r="B2" s="1131" t="s">
        <v>523</v>
      </c>
      <c r="C2" s="1131"/>
      <c r="D2" s="1131"/>
      <c r="E2" s="1131"/>
      <c r="F2" s="1131"/>
      <c r="G2" s="1131"/>
      <c r="H2" s="1131"/>
      <c r="I2" s="1131"/>
      <c r="J2" s="1131"/>
      <c r="K2" s="1131"/>
      <c r="L2" s="1131"/>
    </row>
    <row r="3" spans="1:13" ht="9.75" customHeight="1" thickBot="1">
      <c r="B3" s="1131"/>
      <c r="C3" s="1131"/>
      <c r="D3" s="1131"/>
      <c r="E3" s="1131"/>
      <c r="F3" s="1131"/>
      <c r="G3" s="1131"/>
      <c r="H3" s="1131"/>
      <c r="I3" s="1131"/>
      <c r="J3" s="1131"/>
      <c r="K3" s="1131"/>
      <c r="L3" s="1131"/>
    </row>
    <row r="4" spans="1:13" ht="13.5" customHeight="1" thickTop="1">
      <c r="B4" s="11"/>
      <c r="C4" s="11"/>
      <c r="D4" s="11"/>
      <c r="E4" s="1331" t="str">
        <f>'35- Cap Fund Imprv Auth'!E4:F6</f>
        <v>Balance - January 1, 2024</v>
      </c>
      <c r="F4" s="1227"/>
      <c r="G4" s="12"/>
      <c r="H4" s="12"/>
      <c r="I4" s="12"/>
      <c r="J4" s="12"/>
      <c r="K4" s="1331" t="str">
        <f>'35- Cap Fund Imprv Auth'!K4:L6</f>
        <v>Balance - December 31, 2024</v>
      </c>
      <c r="L4" s="1336"/>
    </row>
    <row r="5" spans="1:13" ht="13.5" customHeight="1">
      <c r="B5" s="1174" t="s">
        <v>514</v>
      </c>
      <c r="C5" s="1174"/>
      <c r="D5" s="1214"/>
      <c r="E5" s="1332"/>
      <c r="F5" s="1333"/>
      <c r="G5" s="20"/>
      <c r="H5" s="20"/>
      <c r="I5" s="20"/>
      <c r="J5" s="20"/>
      <c r="K5" s="1332"/>
      <c r="L5" s="1337"/>
    </row>
    <row r="6" spans="1:13" ht="13.5" customHeight="1">
      <c r="B6" s="1174" t="s">
        <v>515</v>
      </c>
      <c r="C6" s="1174"/>
      <c r="D6" s="1214"/>
      <c r="E6" s="1334"/>
      <c r="F6" s="1335"/>
      <c r="G6" s="20" t="str">
        <f>IF('KEY INPUTS'!C42="State Fiscal Year","Fiscal Year "&amp;'KEY INPUTS'!D33&amp;"",'KEY INPUTS'!D34)&amp;""</f>
        <v>2024</v>
      </c>
      <c r="H6" s="674" t="s">
        <v>218</v>
      </c>
      <c r="I6" s="20" t="s">
        <v>235</v>
      </c>
      <c r="J6" s="20" t="s">
        <v>519</v>
      </c>
      <c r="K6" s="1334"/>
      <c r="L6" s="1338"/>
    </row>
    <row r="7" spans="1:13" ht="13.5" customHeight="1">
      <c r="B7" s="1174" t="s">
        <v>516</v>
      </c>
      <c r="C7" s="1174"/>
      <c r="D7" s="1214"/>
      <c r="E7" s="13" t="s">
        <v>517</v>
      </c>
      <c r="F7" s="13" t="s">
        <v>518</v>
      </c>
      <c r="G7" s="13" t="s">
        <v>519</v>
      </c>
      <c r="H7" s="13"/>
      <c r="I7" s="13"/>
      <c r="J7" s="13" t="s">
        <v>439</v>
      </c>
      <c r="K7" s="13" t="s">
        <v>517</v>
      </c>
      <c r="L7" s="21" t="s">
        <v>518</v>
      </c>
    </row>
    <row r="8" spans="1:13" ht="13.5" customHeight="1" thickBot="1">
      <c r="B8" s="10"/>
      <c r="C8" s="10"/>
      <c r="D8" s="10"/>
      <c r="E8" s="14"/>
      <c r="F8" s="14"/>
      <c r="G8" s="16"/>
      <c r="H8" s="16"/>
      <c r="I8" s="14"/>
      <c r="J8" s="14"/>
      <c r="K8" s="16"/>
      <c r="L8" s="145"/>
    </row>
    <row r="9" spans="1:13" ht="21" customHeight="1" thickTop="1">
      <c r="B9" s="205" t="s">
        <v>3263</v>
      </c>
      <c r="C9" s="22"/>
      <c r="D9" s="23"/>
      <c r="E9" s="980">
        <f>+'35.6- Cap Fund Imprv Auth'!E28</f>
        <v>471366.23</v>
      </c>
      <c r="F9" s="980">
        <f>+'35.6- Cap Fund Imprv Auth'!F28</f>
        <v>244462.44</v>
      </c>
      <c r="G9" s="980">
        <f>+'35.6- Cap Fund Imprv Auth'!G28</f>
        <v>454885</v>
      </c>
      <c r="H9" s="980">
        <f>+'35.6- Cap Fund Imprv Auth'!H28</f>
        <v>0</v>
      </c>
      <c r="I9" s="980">
        <f>+'35.6- Cap Fund Imprv Auth'!I28</f>
        <v>475334.02</v>
      </c>
      <c r="J9" s="980">
        <f>+'35.6- Cap Fund Imprv Auth'!J28</f>
        <v>0</v>
      </c>
      <c r="K9" s="980">
        <f>+'35.6- Cap Fund Imprv Auth'!K28</f>
        <v>448602.51</v>
      </c>
      <c r="L9" s="981">
        <f>+'35.6- Cap Fund Imprv Auth'!L28</f>
        <v>246777.13999999998</v>
      </c>
    </row>
    <row r="10" spans="1:13" ht="21" customHeight="1">
      <c r="B10" s="999"/>
      <c r="C10" s="999"/>
      <c r="D10" s="1000"/>
      <c r="E10" s="426"/>
      <c r="F10" s="426"/>
      <c r="G10" s="426"/>
      <c r="H10" s="426"/>
      <c r="I10" s="426"/>
      <c r="J10" s="426"/>
      <c r="K10" s="426"/>
      <c r="L10" s="542"/>
    </row>
    <row r="11" spans="1:13" ht="21" customHeight="1">
      <c r="B11" s="999"/>
      <c r="C11" s="999"/>
      <c r="D11" s="1000"/>
      <c r="E11" s="426"/>
      <c r="F11" s="426"/>
      <c r="G11" s="426"/>
      <c r="H11" s="426"/>
      <c r="I11" s="426"/>
      <c r="J11" s="426"/>
      <c r="K11" s="426"/>
      <c r="L11" s="542"/>
    </row>
    <row r="12" spans="1:13" ht="21" customHeight="1">
      <c r="A12" s="1195" t="s">
        <v>3497</v>
      </c>
      <c r="B12" s="999"/>
      <c r="C12" s="999"/>
      <c r="D12" s="1000"/>
      <c r="E12" s="426"/>
      <c r="F12" s="426"/>
      <c r="G12" s="426"/>
      <c r="H12" s="426"/>
      <c r="I12" s="426"/>
      <c r="J12" s="426"/>
      <c r="K12" s="426"/>
      <c r="L12" s="542"/>
      <c r="M12" s="204"/>
    </row>
    <row r="13" spans="1:13" ht="21" customHeight="1">
      <c r="A13" s="1195"/>
      <c r="B13" s="999"/>
      <c r="C13" s="999"/>
      <c r="D13" s="1000"/>
      <c r="E13" s="426"/>
      <c r="F13" s="426"/>
      <c r="G13" s="426"/>
      <c r="H13" s="426"/>
      <c r="I13" s="426"/>
      <c r="J13" s="426"/>
      <c r="K13" s="426"/>
      <c r="L13" s="542"/>
    </row>
    <row r="14" spans="1:13" ht="21" customHeight="1">
      <c r="A14" s="1195"/>
      <c r="B14" s="999"/>
      <c r="C14" s="999"/>
      <c r="D14" s="1000"/>
      <c r="E14" s="426"/>
      <c r="F14" s="426"/>
      <c r="G14" s="426"/>
      <c r="H14" s="426"/>
      <c r="I14" s="426"/>
      <c r="J14" s="426"/>
      <c r="K14" s="426"/>
      <c r="L14" s="542"/>
    </row>
    <row r="15" spans="1:13" ht="21" customHeight="1">
      <c r="A15" s="1195"/>
      <c r="B15" s="999"/>
      <c r="C15" s="999"/>
      <c r="D15" s="1000"/>
      <c r="E15" s="426"/>
      <c r="F15" s="426"/>
      <c r="G15" s="426"/>
      <c r="H15" s="426"/>
      <c r="I15" s="426"/>
      <c r="J15" s="426"/>
      <c r="K15" s="426"/>
      <c r="L15" s="542"/>
    </row>
    <row r="16" spans="1:13" ht="21" customHeight="1">
      <c r="A16" s="1195"/>
      <c r="B16" s="999"/>
      <c r="C16" s="999"/>
      <c r="D16" s="1000"/>
      <c r="E16" s="426"/>
      <c r="F16" s="426"/>
      <c r="G16" s="426"/>
      <c r="H16" s="426"/>
      <c r="I16" s="426"/>
      <c r="J16" s="426"/>
      <c r="K16" s="426"/>
      <c r="L16" s="542"/>
    </row>
    <row r="17" spans="1:13" ht="21" customHeight="1">
      <c r="A17" s="1195"/>
      <c r="B17" s="999"/>
      <c r="C17" s="999"/>
      <c r="D17" s="1000"/>
      <c r="E17" s="426"/>
      <c r="F17" s="426"/>
      <c r="G17" s="426"/>
      <c r="H17" s="426"/>
      <c r="I17" s="426"/>
      <c r="J17" s="426"/>
      <c r="K17" s="426"/>
      <c r="L17" s="542"/>
    </row>
    <row r="18" spans="1:13" ht="21" customHeight="1">
      <c r="A18" s="1195"/>
      <c r="B18" s="999"/>
      <c r="C18" s="999"/>
      <c r="D18" s="1000"/>
      <c r="E18" s="426"/>
      <c r="F18" s="426"/>
      <c r="G18" s="426"/>
      <c r="H18" s="426"/>
      <c r="I18" s="426"/>
      <c r="J18" s="426"/>
      <c r="K18" s="426"/>
      <c r="L18" s="542"/>
    </row>
    <row r="19" spans="1:13" ht="21" customHeight="1">
      <c r="A19" s="1195"/>
      <c r="B19" s="999"/>
      <c r="C19" s="999"/>
      <c r="D19" s="1000"/>
      <c r="E19" s="426"/>
      <c r="F19" s="426"/>
      <c r="G19" s="426"/>
      <c r="H19" s="426"/>
      <c r="I19" s="426"/>
      <c r="J19" s="426"/>
      <c r="K19" s="426"/>
      <c r="L19" s="542"/>
    </row>
    <row r="20" spans="1:13" ht="21" customHeight="1">
      <c r="A20" s="1195"/>
      <c r="B20" s="999"/>
      <c r="C20" s="999"/>
      <c r="D20" s="1000"/>
      <c r="E20" s="426"/>
      <c r="F20" s="426"/>
      <c r="G20" s="426"/>
      <c r="H20" s="426"/>
      <c r="I20" s="426"/>
      <c r="J20" s="426"/>
      <c r="K20" s="426"/>
      <c r="L20" s="542"/>
    </row>
    <row r="21" spans="1:13" ht="21" customHeight="1">
      <c r="A21" s="1195"/>
      <c r="B21" s="999"/>
      <c r="C21" s="999"/>
      <c r="D21" s="1000"/>
      <c r="E21" s="426"/>
      <c r="F21" s="426"/>
      <c r="G21" s="426"/>
      <c r="H21" s="426"/>
      <c r="I21" s="426"/>
      <c r="J21" s="426"/>
      <c r="K21" s="426"/>
      <c r="L21" s="542"/>
    </row>
    <row r="22" spans="1:13" ht="21" customHeight="1">
      <c r="A22" s="1195"/>
      <c r="B22" s="999"/>
      <c r="C22" s="999"/>
      <c r="D22" s="1000"/>
      <c r="E22" s="426"/>
      <c r="F22" s="426"/>
      <c r="G22" s="426"/>
      <c r="H22" s="426"/>
      <c r="I22" s="426"/>
      <c r="J22" s="426"/>
      <c r="K22" s="426"/>
      <c r="L22" s="542"/>
    </row>
    <row r="23" spans="1:13" ht="21" customHeight="1">
      <c r="A23" s="1195"/>
      <c r="B23" s="999"/>
      <c r="C23" s="999"/>
      <c r="D23" s="1000"/>
      <c r="E23" s="426"/>
      <c r="F23" s="426"/>
      <c r="G23" s="426"/>
      <c r="H23" s="426"/>
      <c r="I23" s="426"/>
      <c r="J23" s="426"/>
      <c r="K23" s="426"/>
      <c r="L23" s="542"/>
    </row>
    <row r="24" spans="1:13" ht="21" customHeight="1">
      <c r="A24" s="1195"/>
      <c r="B24" s="999"/>
      <c r="C24" s="999"/>
      <c r="D24" s="1000"/>
      <c r="E24" s="426"/>
      <c r="F24" s="426"/>
      <c r="G24" s="426"/>
      <c r="H24" s="426"/>
      <c r="I24" s="426"/>
      <c r="J24" s="426"/>
      <c r="K24" s="426"/>
      <c r="L24" s="542"/>
      <c r="M24" s="204"/>
    </row>
    <row r="25" spans="1:13" ht="21" customHeight="1">
      <c r="B25" s="999"/>
      <c r="C25" s="999"/>
      <c r="D25" s="1000"/>
      <c r="E25" s="426"/>
      <c r="F25" s="426"/>
      <c r="G25" s="426"/>
      <c r="H25" s="426"/>
      <c r="I25" s="426"/>
      <c r="J25" s="426"/>
      <c r="K25" s="426"/>
      <c r="L25" s="542"/>
    </row>
    <row r="26" spans="1:13" ht="21" customHeight="1">
      <c r="B26" s="999"/>
      <c r="C26" s="999"/>
      <c r="D26" s="1000"/>
      <c r="E26" s="426"/>
      <c r="F26" s="426"/>
      <c r="G26" s="426"/>
      <c r="H26" s="426"/>
      <c r="I26" s="426"/>
      <c r="J26" s="426"/>
      <c r="K26" s="426"/>
      <c r="L26" s="542"/>
    </row>
    <row r="27" spans="1:13" ht="21" customHeight="1" thickBot="1">
      <c r="B27" s="999"/>
      <c r="C27" s="999"/>
      <c r="D27" s="1000"/>
      <c r="E27" s="978"/>
      <c r="F27" s="978"/>
      <c r="G27" s="978"/>
      <c r="H27" s="978"/>
      <c r="I27" s="978"/>
      <c r="J27" s="978"/>
      <c r="K27" s="978"/>
      <c r="L27" s="979"/>
    </row>
    <row r="28" spans="1:13" ht="21" customHeight="1" thickTop="1" thickBot="1">
      <c r="B28" s="140"/>
      <c r="C28" s="27"/>
      <c r="D28" s="604" t="s">
        <v>3262</v>
      </c>
      <c r="E28" s="982">
        <f t="shared" ref="E28:K28" si="0">SUM(E9:E27)</f>
        <v>471366.23</v>
      </c>
      <c r="F28" s="982">
        <f>SUM(F9:F27)</f>
        <v>244462.44</v>
      </c>
      <c r="G28" s="982">
        <f t="shared" si="0"/>
        <v>454885</v>
      </c>
      <c r="H28" s="982">
        <f t="shared" si="0"/>
        <v>0</v>
      </c>
      <c r="I28" s="982">
        <f t="shared" si="0"/>
        <v>475334.02</v>
      </c>
      <c r="J28" s="982">
        <f t="shared" si="0"/>
        <v>0</v>
      </c>
      <c r="K28" s="982">
        <f t="shared" si="0"/>
        <v>448602.51</v>
      </c>
      <c r="L28" s="983">
        <f>SUM(L9:L27)</f>
        <v>246777.13999999998</v>
      </c>
    </row>
    <row r="29" spans="1:13" ht="13.5" customHeight="1" thickTop="1">
      <c r="B29" s="144"/>
      <c r="C29" s="34" t="s">
        <v>521</v>
      </c>
      <c r="D29" s="142"/>
      <c r="K29" s="54"/>
      <c r="L29" s="54"/>
    </row>
    <row r="30" spans="1:13">
      <c r="K30" s="204"/>
      <c r="L30" s="61"/>
    </row>
    <row r="33" spans="5:12">
      <c r="E33" s="204"/>
      <c r="F33" s="204"/>
    </row>
    <row r="34" spans="5:12">
      <c r="K34" s="204"/>
      <c r="L34" s="204"/>
    </row>
    <row r="35" spans="5:12">
      <c r="L35" s="204"/>
    </row>
    <row r="36" spans="5:12">
      <c r="L36" s="204"/>
    </row>
    <row r="38" spans="5:12">
      <c r="L38" s="204"/>
    </row>
  </sheetData>
  <sheetProtection algorithmName="SHA-512" hashValue="MrNxeJfsdrCHhsRvVGhIQjCn2APx6sbmNfeg5iukkZ/vmCjcFO5hQrHo6g+hJ0P/P5/XSQ5FyupDFZkuW6FrpQ==" saltValue="ooJ4ZD4oXEFIaU8bP9c4Iw=="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EF8A2-EF7B-4209-99DC-933831CD86AA}">
  <sheetPr codeName="Sheet147"/>
  <dimension ref="A1:M38"/>
  <sheetViews>
    <sheetView zoomScaleNormal="100" workbookViewId="0">
      <selection activeCell="R31" sqref="R31"/>
    </sheetView>
  </sheetViews>
  <sheetFormatPr defaultColWidth="9.109375" defaultRowHeight="13.2"/>
  <cols>
    <col min="1" max="1" width="3.6640625" customWidth="1"/>
    <col min="2" max="3" width="4.88671875" customWidth="1"/>
    <col min="4" max="4" width="35.6640625" customWidth="1"/>
    <col min="5" max="12" width="15.6640625" customWidth="1"/>
    <col min="13" max="13" width="15.33203125" customWidth="1"/>
  </cols>
  <sheetData>
    <row r="1" spans="1:13" ht="8.25" customHeight="1"/>
    <row r="2" spans="1:13" ht="20.399999999999999">
      <c r="B2" s="1131" t="s">
        <v>523</v>
      </c>
      <c r="C2" s="1131"/>
      <c r="D2" s="1131"/>
      <c r="E2" s="1131"/>
      <c r="F2" s="1131"/>
      <c r="G2" s="1131"/>
      <c r="H2" s="1131"/>
      <c r="I2" s="1131"/>
      <c r="J2" s="1131"/>
      <c r="K2" s="1131"/>
      <c r="L2" s="1131"/>
    </row>
    <row r="3" spans="1:13" ht="9.75" customHeight="1" thickBot="1">
      <c r="B3" s="1131"/>
      <c r="C3" s="1131"/>
      <c r="D3" s="1131"/>
      <c r="E3" s="1131"/>
      <c r="F3" s="1131"/>
      <c r="G3" s="1131"/>
      <c r="H3" s="1131"/>
      <c r="I3" s="1131"/>
      <c r="J3" s="1131"/>
      <c r="K3" s="1131"/>
      <c r="L3" s="1131"/>
    </row>
    <row r="4" spans="1:13" ht="13.5" customHeight="1" thickTop="1">
      <c r="B4" s="11"/>
      <c r="C4" s="11"/>
      <c r="D4" s="11"/>
      <c r="E4" s="1331" t="str">
        <f>'35- Cap Fund Imprv Auth'!E4:F6</f>
        <v>Balance - January 1, 2024</v>
      </c>
      <c r="F4" s="1227"/>
      <c r="G4" s="12"/>
      <c r="H4" s="12"/>
      <c r="I4" s="12"/>
      <c r="J4" s="12"/>
      <c r="K4" s="1331" t="str">
        <f>'35- Cap Fund Imprv Auth'!K4:L6</f>
        <v>Balance - December 31, 2024</v>
      </c>
      <c r="L4" s="1336"/>
    </row>
    <row r="5" spans="1:13" ht="13.5" customHeight="1">
      <c r="B5" s="1174" t="s">
        <v>514</v>
      </c>
      <c r="C5" s="1174"/>
      <c r="D5" s="1214"/>
      <c r="E5" s="1332"/>
      <c r="F5" s="1333"/>
      <c r="G5" s="20"/>
      <c r="H5" s="20"/>
      <c r="I5" s="20"/>
      <c r="J5" s="20"/>
      <c r="K5" s="1332"/>
      <c r="L5" s="1337"/>
    </row>
    <row r="6" spans="1:13" ht="13.5" customHeight="1">
      <c r="B6" s="1174" t="s">
        <v>515</v>
      </c>
      <c r="C6" s="1174"/>
      <c r="D6" s="1214"/>
      <c r="E6" s="1334"/>
      <c r="F6" s="1335"/>
      <c r="G6" s="20" t="str">
        <f>IF('KEY INPUTS'!C42="State Fiscal Year","Fiscal Year "&amp;'KEY INPUTS'!D33&amp;"",'KEY INPUTS'!D34)&amp;""</f>
        <v>2024</v>
      </c>
      <c r="H6" s="674" t="s">
        <v>218</v>
      </c>
      <c r="I6" s="20" t="s">
        <v>235</v>
      </c>
      <c r="J6" s="20" t="s">
        <v>519</v>
      </c>
      <c r="K6" s="1334"/>
      <c r="L6" s="1338"/>
    </row>
    <row r="7" spans="1:13" ht="13.5" customHeight="1">
      <c r="B7" s="1174" t="s">
        <v>516</v>
      </c>
      <c r="C7" s="1174"/>
      <c r="D7" s="1214"/>
      <c r="E7" s="13" t="s">
        <v>517</v>
      </c>
      <c r="F7" s="13" t="s">
        <v>518</v>
      </c>
      <c r="G7" s="13" t="s">
        <v>519</v>
      </c>
      <c r="H7" s="13"/>
      <c r="I7" s="13"/>
      <c r="J7" s="13" t="s">
        <v>439</v>
      </c>
      <c r="K7" s="13" t="s">
        <v>517</v>
      </c>
      <c r="L7" s="21" t="s">
        <v>518</v>
      </c>
    </row>
    <row r="8" spans="1:13" ht="13.5" customHeight="1" thickBot="1">
      <c r="B8" s="10"/>
      <c r="C8" s="10"/>
      <c r="D8" s="10"/>
      <c r="E8" s="14"/>
      <c r="F8" s="14"/>
      <c r="G8" s="16"/>
      <c r="H8" s="16"/>
      <c r="I8" s="14"/>
      <c r="J8" s="14"/>
      <c r="K8" s="16"/>
      <c r="L8" s="145"/>
    </row>
    <row r="9" spans="1:13" ht="21" customHeight="1" thickTop="1">
      <c r="B9" s="205" t="s">
        <v>3263</v>
      </c>
      <c r="C9" s="22"/>
      <c r="D9" s="23"/>
      <c r="E9" s="980">
        <f>+'35.7- Cap Fund Imprv Auth'!E28</f>
        <v>471366.23</v>
      </c>
      <c r="F9" s="980">
        <f>+'35.7- Cap Fund Imprv Auth'!F28</f>
        <v>244462.44</v>
      </c>
      <c r="G9" s="980">
        <f>+'35.7- Cap Fund Imprv Auth'!G28</f>
        <v>454885</v>
      </c>
      <c r="H9" s="980">
        <f>+'35.7- Cap Fund Imprv Auth'!H28</f>
        <v>0</v>
      </c>
      <c r="I9" s="980">
        <f>+'35.7- Cap Fund Imprv Auth'!I28</f>
        <v>475334.02</v>
      </c>
      <c r="J9" s="980">
        <f>+'35.7- Cap Fund Imprv Auth'!J28</f>
        <v>0</v>
      </c>
      <c r="K9" s="980">
        <f>+'35.7- Cap Fund Imprv Auth'!K28</f>
        <v>448602.51</v>
      </c>
      <c r="L9" s="981">
        <f>+'35.7- Cap Fund Imprv Auth'!L28</f>
        <v>246777.13999999998</v>
      </c>
    </row>
    <row r="10" spans="1:13" ht="21" customHeight="1">
      <c r="B10" s="999"/>
      <c r="C10" s="999"/>
      <c r="D10" s="1000"/>
      <c r="E10" s="426"/>
      <c r="F10" s="426"/>
      <c r="G10" s="426"/>
      <c r="H10" s="426"/>
      <c r="I10" s="426"/>
      <c r="J10" s="426"/>
      <c r="K10" s="426"/>
      <c r="L10" s="542"/>
    </row>
    <row r="11" spans="1:13" ht="21" customHeight="1">
      <c r="B11" s="999"/>
      <c r="C11" s="999"/>
      <c r="D11" s="1000"/>
      <c r="E11" s="426"/>
      <c r="F11" s="426"/>
      <c r="G11" s="426"/>
      <c r="H11" s="426"/>
      <c r="I11" s="426"/>
      <c r="J11" s="426"/>
      <c r="K11" s="426"/>
      <c r="L11" s="542"/>
    </row>
    <row r="12" spans="1:13" ht="21" customHeight="1">
      <c r="A12" s="1195" t="s">
        <v>3498</v>
      </c>
      <c r="B12" s="999"/>
      <c r="C12" s="999"/>
      <c r="D12" s="1000"/>
      <c r="E12" s="426"/>
      <c r="F12" s="426"/>
      <c r="G12" s="426"/>
      <c r="H12" s="426"/>
      <c r="I12" s="426"/>
      <c r="J12" s="426"/>
      <c r="K12" s="426"/>
      <c r="L12" s="542"/>
      <c r="M12" s="204"/>
    </row>
    <row r="13" spans="1:13" ht="21" customHeight="1">
      <c r="A13" s="1195"/>
      <c r="B13" s="999"/>
      <c r="C13" s="999"/>
      <c r="D13" s="1000"/>
      <c r="E13" s="426"/>
      <c r="F13" s="426"/>
      <c r="G13" s="426"/>
      <c r="H13" s="426"/>
      <c r="I13" s="426"/>
      <c r="J13" s="426"/>
      <c r="K13" s="426"/>
      <c r="L13" s="542"/>
    </row>
    <row r="14" spans="1:13" ht="21" customHeight="1">
      <c r="A14" s="1195"/>
      <c r="B14" s="999"/>
      <c r="C14" s="999"/>
      <c r="D14" s="1000"/>
      <c r="E14" s="426"/>
      <c r="F14" s="426"/>
      <c r="G14" s="426"/>
      <c r="H14" s="426"/>
      <c r="I14" s="426"/>
      <c r="J14" s="426"/>
      <c r="K14" s="426"/>
      <c r="L14" s="542"/>
    </row>
    <row r="15" spans="1:13" ht="21" customHeight="1">
      <c r="A15" s="1195"/>
      <c r="B15" s="999"/>
      <c r="C15" s="999"/>
      <c r="D15" s="1000"/>
      <c r="E15" s="426"/>
      <c r="F15" s="426"/>
      <c r="G15" s="426"/>
      <c r="H15" s="426"/>
      <c r="I15" s="426"/>
      <c r="J15" s="426"/>
      <c r="K15" s="426"/>
      <c r="L15" s="542"/>
    </row>
    <row r="16" spans="1:13" ht="21" customHeight="1">
      <c r="A16" s="1195"/>
      <c r="B16" s="999"/>
      <c r="C16" s="999"/>
      <c r="D16" s="1000"/>
      <c r="E16" s="426"/>
      <c r="F16" s="426"/>
      <c r="G16" s="426"/>
      <c r="H16" s="426"/>
      <c r="I16" s="426"/>
      <c r="J16" s="426"/>
      <c r="K16" s="426"/>
      <c r="L16" s="542"/>
    </row>
    <row r="17" spans="1:13" ht="21" customHeight="1">
      <c r="A17" s="1195"/>
      <c r="B17" s="999"/>
      <c r="C17" s="999"/>
      <c r="D17" s="1000"/>
      <c r="E17" s="426"/>
      <c r="F17" s="426"/>
      <c r="G17" s="426"/>
      <c r="H17" s="426"/>
      <c r="I17" s="426"/>
      <c r="J17" s="426"/>
      <c r="K17" s="426"/>
      <c r="L17" s="542"/>
    </row>
    <row r="18" spans="1:13" ht="21" customHeight="1">
      <c r="A18" s="1195"/>
      <c r="B18" s="999"/>
      <c r="C18" s="999"/>
      <c r="D18" s="1000"/>
      <c r="E18" s="426"/>
      <c r="F18" s="426"/>
      <c r="G18" s="426"/>
      <c r="H18" s="426"/>
      <c r="I18" s="426"/>
      <c r="J18" s="426"/>
      <c r="K18" s="426"/>
      <c r="L18" s="542"/>
    </row>
    <row r="19" spans="1:13" ht="21" customHeight="1">
      <c r="A19" s="1195"/>
      <c r="B19" s="999"/>
      <c r="C19" s="999"/>
      <c r="D19" s="1000"/>
      <c r="E19" s="426"/>
      <c r="F19" s="426"/>
      <c r="G19" s="426"/>
      <c r="H19" s="426"/>
      <c r="I19" s="426"/>
      <c r="J19" s="426"/>
      <c r="K19" s="426"/>
      <c r="L19" s="542"/>
    </row>
    <row r="20" spans="1:13" ht="21" customHeight="1">
      <c r="A20" s="1195"/>
      <c r="B20" s="999"/>
      <c r="C20" s="999"/>
      <c r="D20" s="1000"/>
      <c r="E20" s="426"/>
      <c r="F20" s="426"/>
      <c r="G20" s="426"/>
      <c r="H20" s="426"/>
      <c r="I20" s="426"/>
      <c r="J20" s="426"/>
      <c r="K20" s="426"/>
      <c r="L20" s="542"/>
    </row>
    <row r="21" spans="1:13" ht="21" customHeight="1">
      <c r="A21" s="1195"/>
      <c r="B21" s="999"/>
      <c r="C21" s="999"/>
      <c r="D21" s="1000"/>
      <c r="E21" s="426"/>
      <c r="F21" s="426"/>
      <c r="G21" s="426"/>
      <c r="H21" s="426"/>
      <c r="I21" s="426"/>
      <c r="J21" s="426"/>
      <c r="K21" s="426"/>
      <c r="L21" s="542"/>
    </row>
    <row r="22" spans="1:13" ht="21" customHeight="1">
      <c r="A22" s="1195"/>
      <c r="B22" s="999"/>
      <c r="C22" s="999"/>
      <c r="D22" s="1000"/>
      <c r="E22" s="426"/>
      <c r="F22" s="426"/>
      <c r="G22" s="426"/>
      <c r="H22" s="426"/>
      <c r="I22" s="426"/>
      <c r="J22" s="426"/>
      <c r="K22" s="426"/>
      <c r="L22" s="542"/>
    </row>
    <row r="23" spans="1:13" ht="21" customHeight="1">
      <c r="A23" s="1195"/>
      <c r="B23" s="999"/>
      <c r="C23" s="999"/>
      <c r="D23" s="1000"/>
      <c r="E23" s="426"/>
      <c r="F23" s="426"/>
      <c r="G23" s="426"/>
      <c r="H23" s="426"/>
      <c r="I23" s="426"/>
      <c r="J23" s="426"/>
      <c r="K23" s="426"/>
      <c r="L23" s="542"/>
    </row>
    <row r="24" spans="1:13" ht="21" customHeight="1">
      <c r="A24" s="1195"/>
      <c r="B24" s="999"/>
      <c r="C24" s="999"/>
      <c r="D24" s="1000"/>
      <c r="E24" s="426"/>
      <c r="F24" s="426"/>
      <c r="G24" s="426"/>
      <c r="H24" s="426"/>
      <c r="I24" s="426"/>
      <c r="J24" s="426"/>
      <c r="K24" s="426"/>
      <c r="L24" s="542"/>
      <c r="M24" s="204"/>
    </row>
    <row r="25" spans="1:13" ht="21" customHeight="1">
      <c r="B25" s="999"/>
      <c r="C25" s="999"/>
      <c r="D25" s="1000"/>
      <c r="E25" s="426"/>
      <c r="F25" s="426"/>
      <c r="G25" s="426"/>
      <c r="H25" s="426"/>
      <c r="I25" s="426"/>
      <c r="J25" s="426"/>
      <c r="K25" s="426"/>
      <c r="L25" s="542"/>
    </row>
    <row r="26" spans="1:13" ht="21" customHeight="1">
      <c r="B26" s="999"/>
      <c r="C26" s="999"/>
      <c r="D26" s="1000"/>
      <c r="E26" s="426"/>
      <c r="F26" s="426"/>
      <c r="G26" s="426"/>
      <c r="H26" s="426"/>
      <c r="I26" s="426"/>
      <c r="J26" s="426"/>
      <c r="K26" s="426"/>
      <c r="L26" s="542"/>
    </row>
    <row r="27" spans="1:13" ht="21" customHeight="1" thickBot="1">
      <c r="B27" s="999"/>
      <c r="C27" s="999"/>
      <c r="D27" s="1000"/>
      <c r="E27" s="978"/>
      <c r="F27" s="978"/>
      <c r="G27" s="978"/>
      <c r="H27" s="978"/>
      <c r="I27" s="978"/>
      <c r="J27" s="978"/>
      <c r="K27" s="978"/>
      <c r="L27" s="979"/>
    </row>
    <row r="28" spans="1:13" ht="21" customHeight="1" thickTop="1" thickBot="1">
      <c r="B28" s="140"/>
      <c r="C28" s="27"/>
      <c r="D28" s="604" t="s">
        <v>3262</v>
      </c>
      <c r="E28" s="982">
        <f t="shared" ref="E28:K28" si="0">SUM(E9:E27)</f>
        <v>471366.23</v>
      </c>
      <c r="F28" s="982">
        <f>SUM(F9:F27)</f>
        <v>244462.44</v>
      </c>
      <c r="G28" s="982">
        <f t="shared" si="0"/>
        <v>454885</v>
      </c>
      <c r="H28" s="982">
        <f t="shared" si="0"/>
        <v>0</v>
      </c>
      <c r="I28" s="982">
        <f t="shared" si="0"/>
        <v>475334.02</v>
      </c>
      <c r="J28" s="982">
        <f t="shared" si="0"/>
        <v>0</v>
      </c>
      <c r="K28" s="982">
        <f t="shared" si="0"/>
        <v>448602.51</v>
      </c>
      <c r="L28" s="983">
        <f>SUM(L9:L27)</f>
        <v>246777.13999999998</v>
      </c>
    </row>
    <row r="29" spans="1:13" ht="13.5" customHeight="1" thickTop="1">
      <c r="B29" s="144"/>
      <c r="C29" s="34" t="s">
        <v>521</v>
      </c>
      <c r="D29" s="142"/>
      <c r="K29" s="54"/>
      <c r="L29" s="54"/>
    </row>
    <row r="30" spans="1:13">
      <c r="K30" s="204"/>
      <c r="L30" s="61"/>
    </row>
    <row r="33" spans="5:12">
      <c r="E33" s="204"/>
      <c r="F33" s="204"/>
    </row>
    <row r="34" spans="5:12">
      <c r="K34" s="204"/>
      <c r="L34" s="204"/>
    </row>
    <row r="35" spans="5:12">
      <c r="L35" s="204"/>
    </row>
    <row r="36" spans="5:12">
      <c r="L36" s="204"/>
    </row>
    <row r="38" spans="5:12">
      <c r="L38" s="204"/>
    </row>
  </sheetData>
  <sheetProtection algorithmName="SHA-512" hashValue="SZKMjg+5OxbejPcs0F2bZCL4jYVpE3f2gzXAZfhFV6eklHaeahguj/Sd1B7vJ+vqMDEK2ZIyW1cAGqc0gyzHXw==" saltValue="tTAA3tHyu7UBaLNsYsN5SA=="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2EB22-537A-4101-8DBE-DABB59FFF72F}">
  <sheetPr codeName="Sheet148"/>
  <dimension ref="A1:M38"/>
  <sheetViews>
    <sheetView zoomScaleNormal="100" workbookViewId="0">
      <selection activeCell="G7" sqref="G7"/>
    </sheetView>
  </sheetViews>
  <sheetFormatPr defaultColWidth="9.109375" defaultRowHeight="13.2"/>
  <cols>
    <col min="1" max="1" width="3.6640625" customWidth="1"/>
    <col min="2" max="3" width="4.88671875" customWidth="1"/>
    <col min="4" max="4" width="35.6640625" customWidth="1"/>
    <col min="5" max="12" width="15.6640625" customWidth="1"/>
    <col min="13" max="13" width="15.33203125" customWidth="1"/>
  </cols>
  <sheetData>
    <row r="1" spans="1:13" ht="8.25" customHeight="1"/>
    <row r="2" spans="1:13" ht="20.399999999999999">
      <c r="B2" s="1131" t="s">
        <v>523</v>
      </c>
      <c r="C2" s="1131"/>
      <c r="D2" s="1131"/>
      <c r="E2" s="1131"/>
      <c r="F2" s="1131"/>
      <c r="G2" s="1131"/>
      <c r="H2" s="1131"/>
      <c r="I2" s="1131"/>
      <c r="J2" s="1131"/>
      <c r="K2" s="1131"/>
      <c r="L2" s="1131"/>
    </row>
    <row r="3" spans="1:13" ht="9.75" customHeight="1" thickBot="1">
      <c r="B3" s="1131"/>
      <c r="C3" s="1131"/>
      <c r="D3" s="1131"/>
      <c r="E3" s="1131"/>
      <c r="F3" s="1131"/>
      <c r="G3" s="1131"/>
      <c r="H3" s="1131"/>
      <c r="I3" s="1131"/>
      <c r="J3" s="1131"/>
      <c r="K3" s="1131"/>
      <c r="L3" s="1131"/>
    </row>
    <row r="4" spans="1:13" ht="13.5" customHeight="1" thickTop="1">
      <c r="B4" s="11"/>
      <c r="C4" s="11"/>
      <c r="D4" s="11"/>
      <c r="E4" s="1331" t="str">
        <f>'35- Cap Fund Imprv Auth'!E4:F6</f>
        <v>Balance - January 1, 2024</v>
      </c>
      <c r="F4" s="1227"/>
      <c r="G4" s="12"/>
      <c r="H4" s="12"/>
      <c r="I4" s="12"/>
      <c r="J4" s="12"/>
      <c r="K4" s="1331" t="str">
        <f>'35- Cap Fund Imprv Auth'!K4:L6</f>
        <v>Balance - December 31, 2024</v>
      </c>
      <c r="L4" s="1336"/>
    </row>
    <row r="5" spans="1:13" ht="13.5" customHeight="1">
      <c r="B5" s="1174" t="s">
        <v>514</v>
      </c>
      <c r="C5" s="1174"/>
      <c r="D5" s="1214"/>
      <c r="E5" s="1332"/>
      <c r="F5" s="1333"/>
      <c r="G5" s="20"/>
      <c r="H5" s="20"/>
      <c r="I5" s="20"/>
      <c r="J5" s="20"/>
      <c r="K5" s="1332"/>
      <c r="L5" s="1337"/>
    </row>
    <row r="6" spans="1:13" ht="13.5" customHeight="1">
      <c r="B6" s="1174" t="s">
        <v>515</v>
      </c>
      <c r="C6" s="1174"/>
      <c r="D6" s="1214"/>
      <c r="E6" s="1334"/>
      <c r="F6" s="1335"/>
      <c r="G6" s="20" t="str">
        <f>IF('KEY INPUTS'!C42="State Fiscal Year","Fiscal Year "&amp;'KEY INPUTS'!D33&amp;"",'KEY INPUTS'!D34)&amp;""</f>
        <v>2024</v>
      </c>
      <c r="H6" s="674" t="s">
        <v>218</v>
      </c>
      <c r="I6" s="20" t="s">
        <v>235</v>
      </c>
      <c r="J6" s="20" t="s">
        <v>519</v>
      </c>
      <c r="K6" s="1334"/>
      <c r="L6" s="1338"/>
    </row>
    <row r="7" spans="1:13" ht="13.5" customHeight="1">
      <c r="B7" s="1174" t="s">
        <v>516</v>
      </c>
      <c r="C7" s="1174"/>
      <c r="D7" s="1214"/>
      <c r="E7" s="13" t="s">
        <v>517</v>
      </c>
      <c r="F7" s="13" t="s">
        <v>518</v>
      </c>
      <c r="G7" s="13" t="s">
        <v>519</v>
      </c>
      <c r="H7" s="13"/>
      <c r="I7" s="13"/>
      <c r="J7" s="13" t="s">
        <v>439</v>
      </c>
      <c r="K7" s="13" t="s">
        <v>517</v>
      </c>
      <c r="L7" s="21" t="s">
        <v>518</v>
      </c>
    </row>
    <row r="8" spans="1:13" ht="13.5" customHeight="1" thickBot="1">
      <c r="B8" s="10"/>
      <c r="C8" s="10"/>
      <c r="D8" s="10"/>
      <c r="E8" s="14"/>
      <c r="F8" s="14"/>
      <c r="G8" s="16"/>
      <c r="H8" s="16"/>
      <c r="I8" s="14"/>
      <c r="J8" s="14"/>
      <c r="K8" s="16"/>
      <c r="L8" s="145"/>
    </row>
    <row r="9" spans="1:13" ht="21" customHeight="1" thickTop="1">
      <c r="B9" s="205" t="s">
        <v>3263</v>
      </c>
      <c r="C9" s="22"/>
      <c r="D9" s="23"/>
      <c r="E9" s="980">
        <f>+'35.8- Cap Fund Imprv Auth'!E28</f>
        <v>471366.23</v>
      </c>
      <c r="F9" s="980">
        <f>+'35.8- Cap Fund Imprv Auth'!F28</f>
        <v>244462.44</v>
      </c>
      <c r="G9" s="980">
        <f>+'35.8- Cap Fund Imprv Auth'!G28</f>
        <v>454885</v>
      </c>
      <c r="H9" s="980">
        <f>+'35.8- Cap Fund Imprv Auth'!H28</f>
        <v>0</v>
      </c>
      <c r="I9" s="980">
        <f>+'35.8- Cap Fund Imprv Auth'!I28</f>
        <v>475334.02</v>
      </c>
      <c r="J9" s="980">
        <f>+'35.8- Cap Fund Imprv Auth'!J28</f>
        <v>0</v>
      </c>
      <c r="K9" s="980">
        <f>+'35.8- Cap Fund Imprv Auth'!K28</f>
        <v>448602.51</v>
      </c>
      <c r="L9" s="981">
        <f>+'35.8- Cap Fund Imprv Auth'!L28</f>
        <v>246777.13999999998</v>
      </c>
    </row>
    <row r="10" spans="1:13" ht="21" customHeight="1">
      <c r="B10" s="999"/>
      <c r="C10" s="999"/>
      <c r="D10" s="1000"/>
      <c r="E10" s="426"/>
      <c r="F10" s="426"/>
      <c r="G10" s="426"/>
      <c r="H10" s="426"/>
      <c r="I10" s="426"/>
      <c r="J10" s="426"/>
      <c r="K10" s="426"/>
      <c r="L10" s="542"/>
    </row>
    <row r="11" spans="1:13" ht="21" customHeight="1">
      <c r="B11" s="999"/>
      <c r="C11" s="999"/>
      <c r="D11" s="1000"/>
      <c r="E11" s="426"/>
      <c r="F11" s="426"/>
      <c r="G11" s="426"/>
      <c r="H11" s="426"/>
      <c r="I11" s="426"/>
      <c r="J11" s="426"/>
      <c r="K11" s="426"/>
      <c r="L11" s="542"/>
    </row>
    <row r="12" spans="1:13" ht="21" customHeight="1">
      <c r="A12" s="1195" t="s">
        <v>3499</v>
      </c>
      <c r="B12" s="999"/>
      <c r="C12" s="999"/>
      <c r="D12" s="1000"/>
      <c r="E12" s="426"/>
      <c r="F12" s="426"/>
      <c r="G12" s="426"/>
      <c r="H12" s="426"/>
      <c r="I12" s="426"/>
      <c r="J12" s="426"/>
      <c r="K12" s="426"/>
      <c r="L12" s="542"/>
      <c r="M12" s="204"/>
    </row>
    <row r="13" spans="1:13" ht="21" customHeight="1">
      <c r="A13" s="1195"/>
      <c r="B13" s="999"/>
      <c r="C13" s="999"/>
      <c r="D13" s="1000"/>
      <c r="E13" s="426"/>
      <c r="F13" s="426"/>
      <c r="G13" s="426"/>
      <c r="H13" s="426"/>
      <c r="I13" s="426"/>
      <c r="J13" s="426"/>
      <c r="K13" s="426"/>
      <c r="L13" s="542"/>
    </row>
    <row r="14" spans="1:13" ht="21" customHeight="1">
      <c r="A14" s="1195"/>
      <c r="B14" s="999"/>
      <c r="C14" s="999"/>
      <c r="D14" s="1000"/>
      <c r="E14" s="426"/>
      <c r="F14" s="426"/>
      <c r="G14" s="426"/>
      <c r="H14" s="426"/>
      <c r="I14" s="426"/>
      <c r="J14" s="426"/>
      <c r="K14" s="426"/>
      <c r="L14" s="542"/>
    </row>
    <row r="15" spans="1:13" ht="21" customHeight="1">
      <c r="A15" s="1195"/>
      <c r="B15" s="999"/>
      <c r="C15" s="999"/>
      <c r="D15" s="1000"/>
      <c r="E15" s="426"/>
      <c r="F15" s="426"/>
      <c r="G15" s="426"/>
      <c r="H15" s="426"/>
      <c r="I15" s="426"/>
      <c r="J15" s="426"/>
      <c r="K15" s="426"/>
      <c r="L15" s="542"/>
    </row>
    <row r="16" spans="1:13" ht="21" customHeight="1">
      <c r="A16" s="1195"/>
      <c r="B16" s="999"/>
      <c r="C16" s="999"/>
      <c r="D16" s="1000"/>
      <c r="E16" s="426"/>
      <c r="F16" s="426"/>
      <c r="G16" s="426"/>
      <c r="H16" s="426"/>
      <c r="I16" s="426"/>
      <c r="J16" s="426"/>
      <c r="K16" s="426"/>
      <c r="L16" s="542"/>
    </row>
    <row r="17" spans="1:13" ht="21" customHeight="1">
      <c r="A17" s="1195"/>
      <c r="B17" s="999"/>
      <c r="C17" s="999"/>
      <c r="D17" s="1000"/>
      <c r="E17" s="426"/>
      <c r="F17" s="426"/>
      <c r="G17" s="426"/>
      <c r="H17" s="426"/>
      <c r="I17" s="426"/>
      <c r="J17" s="426"/>
      <c r="K17" s="426"/>
      <c r="L17" s="542"/>
    </row>
    <row r="18" spans="1:13" ht="21" customHeight="1">
      <c r="A18" s="1195"/>
      <c r="B18" s="999"/>
      <c r="C18" s="999"/>
      <c r="D18" s="1000"/>
      <c r="E18" s="426"/>
      <c r="F18" s="426"/>
      <c r="G18" s="426"/>
      <c r="H18" s="426"/>
      <c r="I18" s="426"/>
      <c r="J18" s="426"/>
      <c r="K18" s="426"/>
      <c r="L18" s="542"/>
    </row>
    <row r="19" spans="1:13" ht="21" customHeight="1">
      <c r="A19" s="1195"/>
      <c r="B19" s="999"/>
      <c r="C19" s="999"/>
      <c r="D19" s="1000"/>
      <c r="E19" s="426"/>
      <c r="F19" s="426"/>
      <c r="G19" s="426"/>
      <c r="H19" s="426"/>
      <c r="I19" s="426"/>
      <c r="J19" s="426"/>
      <c r="K19" s="426"/>
      <c r="L19" s="542"/>
    </row>
    <row r="20" spans="1:13" ht="21" customHeight="1">
      <c r="A20" s="1195"/>
      <c r="B20" s="999"/>
      <c r="C20" s="999"/>
      <c r="D20" s="1000"/>
      <c r="E20" s="426"/>
      <c r="F20" s="426"/>
      <c r="G20" s="426"/>
      <c r="H20" s="426"/>
      <c r="I20" s="426"/>
      <c r="J20" s="426"/>
      <c r="K20" s="426"/>
      <c r="L20" s="542"/>
    </row>
    <row r="21" spans="1:13" ht="21" customHeight="1">
      <c r="A21" s="1195"/>
      <c r="B21" s="999"/>
      <c r="C21" s="999"/>
      <c r="D21" s="1000"/>
      <c r="E21" s="426"/>
      <c r="F21" s="426"/>
      <c r="G21" s="426"/>
      <c r="H21" s="426"/>
      <c r="I21" s="426"/>
      <c r="J21" s="426"/>
      <c r="K21" s="426"/>
      <c r="L21" s="542"/>
    </row>
    <row r="22" spans="1:13" ht="21" customHeight="1">
      <c r="A22" s="1195"/>
      <c r="B22" s="999"/>
      <c r="C22" s="999"/>
      <c r="D22" s="1000"/>
      <c r="E22" s="426"/>
      <c r="F22" s="426"/>
      <c r="G22" s="426"/>
      <c r="H22" s="426"/>
      <c r="I22" s="426"/>
      <c r="J22" s="426"/>
      <c r="K22" s="426"/>
      <c r="L22" s="542"/>
    </row>
    <row r="23" spans="1:13" ht="21" customHeight="1">
      <c r="A23" s="1195"/>
      <c r="B23" s="999"/>
      <c r="C23" s="999"/>
      <c r="D23" s="1000"/>
      <c r="E23" s="426"/>
      <c r="F23" s="426"/>
      <c r="G23" s="426"/>
      <c r="H23" s="426"/>
      <c r="I23" s="426"/>
      <c r="J23" s="426"/>
      <c r="K23" s="426"/>
      <c r="L23" s="542"/>
    </row>
    <row r="24" spans="1:13" ht="21" customHeight="1">
      <c r="A24" s="1195"/>
      <c r="B24" s="999"/>
      <c r="C24" s="999"/>
      <c r="D24" s="1000"/>
      <c r="E24" s="426"/>
      <c r="F24" s="426"/>
      <c r="G24" s="426"/>
      <c r="H24" s="426"/>
      <c r="I24" s="426"/>
      <c r="J24" s="426"/>
      <c r="K24" s="426"/>
      <c r="L24" s="542"/>
      <c r="M24" s="204"/>
    </row>
    <row r="25" spans="1:13" ht="21" customHeight="1">
      <c r="B25" s="999"/>
      <c r="C25" s="999"/>
      <c r="D25" s="1000"/>
      <c r="E25" s="426"/>
      <c r="F25" s="426"/>
      <c r="G25" s="426"/>
      <c r="H25" s="426"/>
      <c r="I25" s="426"/>
      <c r="J25" s="426"/>
      <c r="K25" s="426"/>
      <c r="L25" s="542"/>
    </row>
    <row r="26" spans="1:13" ht="21" customHeight="1">
      <c r="B26" s="999"/>
      <c r="C26" s="999"/>
      <c r="D26" s="1000"/>
      <c r="E26" s="426"/>
      <c r="F26" s="426"/>
      <c r="G26" s="426"/>
      <c r="H26" s="426"/>
      <c r="I26" s="426"/>
      <c r="J26" s="426"/>
      <c r="K26" s="426"/>
      <c r="L26" s="542"/>
    </row>
    <row r="27" spans="1:13" ht="21" customHeight="1" thickBot="1">
      <c r="B27" s="999"/>
      <c r="C27" s="999"/>
      <c r="D27" s="1000"/>
      <c r="E27" s="978"/>
      <c r="F27" s="978"/>
      <c r="G27" s="978"/>
      <c r="H27" s="978"/>
      <c r="I27" s="978"/>
      <c r="J27" s="978"/>
      <c r="K27" s="978"/>
      <c r="L27" s="979"/>
    </row>
    <row r="28" spans="1:13" ht="21" customHeight="1" thickTop="1" thickBot="1">
      <c r="B28" s="140"/>
      <c r="C28" s="27"/>
      <c r="D28" s="604" t="s">
        <v>3262</v>
      </c>
      <c r="E28" s="982">
        <f t="shared" ref="E28:K28" si="0">SUM(E9:E27)</f>
        <v>471366.23</v>
      </c>
      <c r="F28" s="982">
        <f>SUM(F9:F27)</f>
        <v>244462.44</v>
      </c>
      <c r="G28" s="982">
        <f t="shared" si="0"/>
        <v>454885</v>
      </c>
      <c r="H28" s="982">
        <f t="shared" si="0"/>
        <v>0</v>
      </c>
      <c r="I28" s="982">
        <f t="shared" si="0"/>
        <v>475334.02</v>
      </c>
      <c r="J28" s="982">
        <f t="shared" si="0"/>
        <v>0</v>
      </c>
      <c r="K28" s="982">
        <f t="shared" si="0"/>
        <v>448602.51</v>
      </c>
      <c r="L28" s="983">
        <f>SUM(L9:L27)</f>
        <v>246777.13999999998</v>
      </c>
    </row>
    <row r="29" spans="1:13" ht="13.5" customHeight="1" thickTop="1">
      <c r="B29" s="144"/>
      <c r="C29" s="34" t="s">
        <v>521</v>
      </c>
      <c r="D29" s="142"/>
      <c r="K29" s="54"/>
      <c r="L29" s="54"/>
    </row>
    <row r="30" spans="1:13">
      <c r="K30" s="204"/>
      <c r="L30" s="61"/>
    </row>
    <row r="33" spans="5:12">
      <c r="E33" s="204"/>
      <c r="F33" s="204"/>
    </row>
    <row r="34" spans="5:12">
      <c r="K34" s="204"/>
      <c r="L34" s="204"/>
    </row>
    <row r="35" spans="5:12">
      <c r="L35" s="204"/>
    </row>
    <row r="36" spans="5:12">
      <c r="L36" s="204"/>
    </row>
    <row r="38" spans="5:12">
      <c r="L38" s="204"/>
    </row>
  </sheetData>
  <sheetProtection algorithmName="SHA-512" hashValue="VWGZQBfmoUUJA0AaqhnZxX+XmtRcJNXhpLI1H87vbU7aLrpJu7bAPklUmIY+MeFsDnQq8BwBDYBWOATecqCfrQ==" saltValue="RNHti+RghnDzLpwNBxAp9Q=="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fitToPage="1"/>
  </sheetPr>
  <dimension ref="B3:L47"/>
  <sheetViews>
    <sheetView zoomScaleNormal="100" zoomScaleSheetLayoutView="100" workbookViewId="0">
      <selection activeCell="H15" sqref="H15"/>
    </sheetView>
  </sheetViews>
  <sheetFormatPr defaultRowHeight="13.2"/>
  <cols>
    <col min="1" max="1" width="4.6640625" customWidth="1"/>
    <col min="2" max="2" width="4.88671875" customWidth="1"/>
    <col min="3" max="4" width="4.6640625" customWidth="1"/>
    <col min="5" max="5" width="31.5546875" customWidth="1"/>
    <col min="6" max="6" width="15.6640625" customWidth="1"/>
    <col min="7" max="8" width="18.6640625" bestFit="1" customWidth="1"/>
    <col min="9" max="9" width="13.5546875" bestFit="1" customWidth="1"/>
    <col min="10" max="10" width="10.88671875" bestFit="1" customWidth="1"/>
  </cols>
  <sheetData>
    <row r="3" spans="2:12" ht="22.8">
      <c r="B3" s="1176" t="s">
        <v>424</v>
      </c>
      <c r="C3" s="1176"/>
      <c r="D3" s="1176"/>
      <c r="E3" s="1176"/>
      <c r="F3" s="1176"/>
      <c r="G3" s="1176"/>
      <c r="H3" s="1176"/>
    </row>
    <row r="4" spans="2:12" ht="22.8">
      <c r="B4" s="1176" t="s">
        <v>3611</v>
      </c>
      <c r="C4" s="1176"/>
      <c r="D4" s="1176"/>
      <c r="E4" s="1176"/>
      <c r="F4" s="1176"/>
      <c r="G4" s="1176"/>
      <c r="H4" s="1176"/>
    </row>
    <row r="5" spans="2:12" ht="17.399999999999999">
      <c r="B5" s="1186" t="s">
        <v>620</v>
      </c>
      <c r="C5" s="1186"/>
      <c r="D5" s="1186"/>
      <c r="E5" s="1186"/>
      <c r="F5" s="1186"/>
      <c r="G5" s="1186"/>
      <c r="H5" s="1186"/>
    </row>
    <row r="6" spans="2:12" ht="15.6">
      <c r="B6" s="1182" t="str">
        <f>IF('KEY INPUTS'!C42 = "State Fiscal Year", 'KEY INPUTS'!F45,'KEY INPUTS'!D45)</f>
        <v>AS  AT  DECEMBER  31, 2024</v>
      </c>
      <c r="C6" s="1132"/>
      <c r="D6" s="1132"/>
      <c r="E6" s="1132"/>
      <c r="F6" s="1132"/>
      <c r="G6" s="1132"/>
      <c r="H6" s="1132"/>
    </row>
    <row r="7" spans="2:12" ht="13.8" thickBot="1"/>
    <row r="8" spans="2:12" ht="36" customHeight="1" thickTop="1" thickBot="1">
      <c r="B8" s="1179" t="s">
        <v>95</v>
      </c>
      <c r="C8" s="1179"/>
      <c r="D8" s="1179"/>
      <c r="E8" s="1179"/>
      <c r="F8" s="1180"/>
      <c r="G8" s="4" t="s">
        <v>96</v>
      </c>
      <c r="H8" s="3" t="s">
        <v>97</v>
      </c>
    </row>
    <row r="9" spans="2:12" ht="21" customHeight="1" thickTop="1">
      <c r="G9" s="627"/>
      <c r="H9" s="628"/>
    </row>
    <row r="10" spans="2:12" ht="21" customHeight="1">
      <c r="B10" s="263" t="s">
        <v>3537</v>
      </c>
      <c r="C10" s="5"/>
      <c r="D10" s="5"/>
      <c r="E10" s="5"/>
      <c r="F10" s="5"/>
      <c r="G10" s="629"/>
      <c r="H10" s="509"/>
      <c r="L10" s="294"/>
    </row>
    <row r="11" spans="2:12" ht="21" customHeight="1">
      <c r="B11" s="5"/>
      <c r="C11" s="263" t="s">
        <v>351</v>
      </c>
      <c r="D11" s="5"/>
      <c r="E11" s="5"/>
      <c r="F11" s="5"/>
      <c r="G11" s="629">
        <f>+'9-Cash Reconciliation'!I8</f>
        <v>4272.51</v>
      </c>
      <c r="H11" s="509"/>
      <c r="I11" s="575"/>
    </row>
    <row r="12" spans="2:12" ht="21" customHeight="1">
      <c r="B12" s="417"/>
      <c r="C12" s="418" t="s">
        <v>3745</v>
      </c>
      <c r="D12" s="417"/>
      <c r="E12" s="417"/>
      <c r="F12" s="417"/>
      <c r="G12" s="291"/>
      <c r="H12" s="429">
        <v>2705.45</v>
      </c>
    </row>
    <row r="13" spans="2:12" ht="21" customHeight="1">
      <c r="B13" s="417"/>
      <c r="C13" s="418" t="s">
        <v>3227</v>
      </c>
      <c r="D13" s="417"/>
      <c r="E13" s="417"/>
      <c r="F13" s="417"/>
      <c r="G13" s="291"/>
      <c r="H13" s="429">
        <v>74</v>
      </c>
    </row>
    <row r="14" spans="2:12" ht="21" customHeight="1">
      <c r="B14" s="417"/>
      <c r="C14" s="418" t="s">
        <v>3538</v>
      </c>
      <c r="D14" s="417"/>
      <c r="E14" s="417"/>
      <c r="F14" s="417"/>
      <c r="G14" s="291"/>
      <c r="H14" s="429">
        <v>1493.06</v>
      </c>
      <c r="I14" s="204"/>
    </row>
    <row r="15" spans="2:12" ht="21" customHeight="1">
      <c r="B15" s="417"/>
      <c r="C15" s="417"/>
      <c r="D15" s="417"/>
      <c r="E15" s="417"/>
      <c r="F15" s="417"/>
      <c r="G15" s="446"/>
      <c r="H15" s="430"/>
      <c r="I15" s="204"/>
    </row>
    <row r="16" spans="2:12" ht="21" customHeight="1" thickBot="1">
      <c r="B16" s="417"/>
      <c r="C16" s="417"/>
      <c r="D16" s="417"/>
      <c r="E16" s="417"/>
      <c r="F16" s="417"/>
      <c r="G16" s="446"/>
      <c r="H16" s="582"/>
    </row>
    <row r="17" spans="2:9" ht="21" customHeight="1" thickTop="1" thickBot="1">
      <c r="B17" s="578"/>
      <c r="C17" s="571" t="s">
        <v>3228</v>
      </c>
      <c r="D17" s="563"/>
      <c r="E17" s="563"/>
      <c r="F17" s="563"/>
      <c r="G17" s="631">
        <f>SUM(G9:G16)</f>
        <v>4272.51</v>
      </c>
      <c r="H17" s="632">
        <f>SUM(H9:H16)</f>
        <v>4272.51</v>
      </c>
      <c r="I17" s="204"/>
    </row>
    <row r="18" spans="2:9" ht="21" customHeight="1" thickTop="1">
      <c r="B18" s="5"/>
      <c r="C18" s="5"/>
      <c r="D18" s="5"/>
      <c r="E18" s="5"/>
      <c r="F18" s="5"/>
      <c r="G18" s="633"/>
      <c r="H18" s="634"/>
    </row>
    <row r="19" spans="2:9" ht="21" customHeight="1">
      <c r="B19" s="263" t="s">
        <v>3230</v>
      </c>
      <c r="C19" s="5"/>
      <c r="D19" s="5"/>
      <c r="E19" s="5"/>
      <c r="F19" s="5"/>
      <c r="G19" s="629"/>
      <c r="H19" s="509"/>
    </row>
    <row r="20" spans="2:9" ht="21" customHeight="1">
      <c r="B20" s="5"/>
      <c r="C20" s="263" t="s">
        <v>351</v>
      </c>
      <c r="D20" s="5"/>
      <c r="E20" s="5"/>
      <c r="F20" s="5"/>
      <c r="G20" s="629">
        <f>+'9-Cash Reconciliation'!I9</f>
        <v>0</v>
      </c>
      <c r="H20" s="509"/>
      <c r="I20" s="575"/>
    </row>
    <row r="21" spans="2:9" ht="21" customHeight="1">
      <c r="B21" s="417"/>
      <c r="C21" s="418" t="s">
        <v>3196</v>
      </c>
      <c r="D21" s="417"/>
      <c r="E21" s="417"/>
      <c r="F21" s="417"/>
      <c r="G21" s="291"/>
      <c r="H21" s="429"/>
    </row>
    <row r="22" spans="2:9" ht="21" customHeight="1">
      <c r="B22" s="417"/>
      <c r="C22" s="417"/>
      <c r="D22" s="417"/>
      <c r="E22" s="417"/>
      <c r="F22" s="417"/>
      <c r="G22" s="291"/>
      <c r="H22" s="429"/>
    </row>
    <row r="23" spans="2:9" ht="21" customHeight="1">
      <c r="B23" s="417"/>
      <c r="C23" s="417"/>
      <c r="D23" s="417"/>
      <c r="E23" s="417"/>
      <c r="F23" s="417"/>
      <c r="G23" s="291"/>
      <c r="H23" s="429"/>
      <c r="I23" s="204"/>
    </row>
    <row r="24" spans="2:9" ht="21" customHeight="1">
      <c r="B24" s="417"/>
      <c r="C24" s="418" t="s">
        <v>3229</v>
      </c>
      <c r="D24" s="424"/>
      <c r="E24" s="417"/>
      <c r="F24" s="417"/>
      <c r="G24" s="291"/>
      <c r="H24" s="429"/>
      <c r="I24" s="576"/>
    </row>
    <row r="25" spans="2:9" ht="21" customHeight="1">
      <c r="B25" s="417"/>
      <c r="C25" s="418"/>
      <c r="D25" s="417"/>
      <c r="E25" s="417"/>
      <c r="F25" s="417"/>
      <c r="G25" s="291"/>
      <c r="H25" s="429"/>
      <c r="I25" s="204"/>
    </row>
    <row r="26" spans="2:9" ht="21" customHeight="1">
      <c r="B26" s="417"/>
      <c r="C26" s="417"/>
      <c r="D26" s="417"/>
      <c r="E26" s="417"/>
      <c r="F26" s="417"/>
      <c r="G26" s="291"/>
      <c r="H26" s="429"/>
      <c r="I26" s="204"/>
    </row>
    <row r="27" spans="2:9" ht="21" customHeight="1" thickBot="1">
      <c r="B27" s="417"/>
      <c r="C27" s="417"/>
      <c r="D27" s="417"/>
      <c r="E27" s="417"/>
      <c r="F27" s="417"/>
      <c r="G27" s="446"/>
      <c r="H27" s="430"/>
      <c r="I27" s="204"/>
    </row>
    <row r="28" spans="2:9" ht="21" customHeight="1" thickTop="1" thickBot="1">
      <c r="B28" s="563"/>
      <c r="C28" s="571" t="s">
        <v>3228</v>
      </c>
      <c r="D28" s="563"/>
      <c r="E28" s="563"/>
      <c r="F28" s="563"/>
      <c r="G28" s="631">
        <f>SUM(G20:G27)</f>
        <v>0</v>
      </c>
      <c r="H28" s="632">
        <f>SUM(H20:H27)</f>
        <v>0</v>
      </c>
      <c r="I28" s="204"/>
    </row>
    <row r="29" spans="2:9" ht="21" customHeight="1" thickTop="1">
      <c r="B29" s="5"/>
      <c r="C29" s="5"/>
      <c r="D29" s="5"/>
      <c r="E29" s="5"/>
      <c r="F29" s="5"/>
      <c r="G29" s="633"/>
      <c r="H29" s="634"/>
      <c r="I29" s="576"/>
    </row>
    <row r="30" spans="2:9" ht="21" customHeight="1">
      <c r="B30" s="263" t="s">
        <v>3231</v>
      </c>
      <c r="C30" s="5"/>
      <c r="D30" s="5"/>
      <c r="E30" s="5"/>
      <c r="F30" s="5"/>
      <c r="G30" s="629"/>
      <c r="H30" s="509"/>
      <c r="I30" s="204"/>
    </row>
    <row r="31" spans="2:9" ht="21" customHeight="1">
      <c r="B31" s="5"/>
      <c r="C31" s="263" t="s">
        <v>351</v>
      </c>
      <c r="D31" s="5"/>
      <c r="E31" s="5"/>
      <c r="F31" s="5"/>
      <c r="G31" s="629">
        <f>+'9-Cash Reconciliation'!I10</f>
        <v>0</v>
      </c>
      <c r="H31" s="509"/>
      <c r="I31" s="204"/>
    </row>
    <row r="32" spans="2:9" ht="21" customHeight="1">
      <c r="B32" s="417"/>
      <c r="C32" s="417"/>
      <c r="D32" s="417"/>
      <c r="E32" s="417"/>
      <c r="F32" s="417"/>
      <c r="G32" s="291"/>
      <c r="H32" s="429"/>
      <c r="I32" s="204"/>
    </row>
    <row r="33" spans="2:9" ht="21" customHeight="1">
      <c r="B33" s="417"/>
      <c r="C33" s="417"/>
      <c r="D33" s="417"/>
      <c r="E33" s="417"/>
      <c r="F33" s="417"/>
      <c r="G33" s="291"/>
      <c r="H33" s="429"/>
      <c r="I33" s="204"/>
    </row>
    <row r="34" spans="2:9" ht="21" customHeight="1">
      <c r="B34" s="417"/>
      <c r="C34" s="417"/>
      <c r="D34" s="417"/>
      <c r="E34" s="417"/>
      <c r="F34" s="417"/>
      <c r="G34" s="291"/>
      <c r="H34" s="429"/>
      <c r="I34" s="238"/>
    </row>
    <row r="35" spans="2:9" ht="21" customHeight="1">
      <c r="B35" s="417"/>
      <c r="C35" s="417"/>
      <c r="D35" s="417"/>
      <c r="E35" s="417"/>
      <c r="F35" s="417"/>
      <c r="G35" s="291"/>
      <c r="H35" s="429"/>
      <c r="I35" s="204"/>
    </row>
    <row r="36" spans="2:9" ht="21" customHeight="1">
      <c r="B36" s="417"/>
      <c r="C36" s="417"/>
      <c r="D36" s="417"/>
      <c r="E36" s="417"/>
      <c r="F36" s="417"/>
      <c r="G36" s="291"/>
      <c r="H36" s="429"/>
      <c r="I36" s="204"/>
    </row>
    <row r="37" spans="2:9" ht="21" customHeight="1" thickBot="1">
      <c r="B37" s="417"/>
      <c r="C37" s="417"/>
      <c r="D37" s="417"/>
      <c r="E37" s="417"/>
      <c r="F37" s="417"/>
      <c r="G37" s="446"/>
      <c r="H37" s="430"/>
    </row>
    <row r="38" spans="2:9" ht="21" customHeight="1" thickTop="1" thickBot="1">
      <c r="B38" s="563"/>
      <c r="C38" s="571" t="s">
        <v>3228</v>
      </c>
      <c r="D38" s="563"/>
      <c r="E38" s="563"/>
      <c r="F38" s="563"/>
      <c r="G38" s="631">
        <f>SUM(G31:G37)</f>
        <v>0</v>
      </c>
      <c r="H38" s="632">
        <f>SUM(H31:H37)</f>
        <v>0</v>
      </c>
    </row>
    <row r="39" spans="2:9" ht="21" customHeight="1" thickTop="1">
      <c r="B39" s="5"/>
      <c r="C39" s="5"/>
      <c r="D39" s="5"/>
      <c r="E39" s="5"/>
      <c r="F39" s="5"/>
      <c r="G39" s="633"/>
      <c r="H39" s="634"/>
    </row>
    <row r="40" spans="2:9" ht="21" customHeight="1">
      <c r="B40" s="263" t="s">
        <v>3232</v>
      </c>
      <c r="C40" s="5"/>
      <c r="D40" s="5"/>
      <c r="E40" s="5"/>
      <c r="F40" s="5"/>
      <c r="G40" s="633"/>
      <c r="H40" s="634"/>
    </row>
    <row r="41" spans="2:9" ht="21" customHeight="1">
      <c r="B41" s="5"/>
      <c r="C41" s="263" t="s">
        <v>351</v>
      </c>
      <c r="D41" s="5"/>
      <c r="E41" s="5"/>
      <c r="F41" s="5"/>
      <c r="G41" s="633">
        <f>+'9-Cash Reconciliation'!I11</f>
        <v>0</v>
      </c>
      <c r="H41" s="634"/>
    </row>
    <row r="42" spans="2:9" ht="21" customHeight="1">
      <c r="B42" s="417"/>
      <c r="C42" s="417"/>
      <c r="D42" s="417"/>
      <c r="E42" s="417"/>
      <c r="F42" s="417"/>
      <c r="G42" s="291"/>
      <c r="H42" s="429"/>
    </row>
    <row r="43" spans="2:9" ht="21" customHeight="1">
      <c r="B43" s="417"/>
      <c r="C43" s="417"/>
      <c r="D43" s="417"/>
      <c r="E43" s="417"/>
      <c r="F43" s="417"/>
      <c r="G43" s="291"/>
      <c r="H43" s="429"/>
    </row>
    <row r="44" spans="2:9" ht="21" customHeight="1" thickBot="1">
      <c r="B44" s="417"/>
      <c r="C44" s="417"/>
      <c r="D44" s="417"/>
      <c r="E44" s="417"/>
      <c r="F44" s="417"/>
      <c r="G44" s="446"/>
      <c r="H44" s="430"/>
    </row>
    <row r="45" spans="2:9" ht="21" customHeight="1" thickTop="1" thickBot="1">
      <c r="B45" s="563"/>
      <c r="C45" s="571" t="s">
        <v>3228</v>
      </c>
      <c r="D45" s="563"/>
      <c r="E45" s="563"/>
      <c r="F45" s="563"/>
      <c r="G45" s="631">
        <f>SUM(G41:G44)</f>
        <v>0</v>
      </c>
      <c r="H45" s="632">
        <f>SUM(H41:H44)</f>
        <v>0</v>
      </c>
    </row>
    <row r="46" spans="2:9" ht="13.8" thickTop="1">
      <c r="B46" s="1158" t="s">
        <v>98</v>
      </c>
      <c r="C46" s="1158"/>
      <c r="D46" s="1158"/>
      <c r="E46" s="1158"/>
      <c r="F46" s="1158"/>
      <c r="G46" s="1158"/>
      <c r="H46" s="1158"/>
    </row>
    <row r="47" spans="2:9" ht="13.8">
      <c r="B47" s="1130" t="s">
        <v>479</v>
      </c>
      <c r="C47" s="1130"/>
      <c r="D47" s="1130"/>
      <c r="E47" s="1130"/>
      <c r="F47" s="1130"/>
      <c r="G47" s="1130"/>
      <c r="H47" s="1130"/>
    </row>
  </sheetData>
  <sheetProtection algorithmName="SHA-512" hashValue="y0mDa7ZxAdgmJLjBGNK20gGE8Hiy1/nLLI4a2vTLGS3QV8FCP5XY71EQAp1PyRuDb0sRLtQLOoE1iPBQg9Zr0w==" saltValue="ZYs0cg1iNZPIjk5sfucDPQ==" spinCount="100000" sheet="1" objects="1" scenarios="1"/>
  <mergeCells count="7">
    <mergeCell ref="B8:F8"/>
    <mergeCell ref="B47:H47"/>
    <mergeCell ref="B3:H3"/>
    <mergeCell ref="B4:H4"/>
    <mergeCell ref="B6:H6"/>
    <mergeCell ref="B5:H5"/>
    <mergeCell ref="B46:H46"/>
  </mergeCells>
  <phoneticPr fontId="0" type="noConversion"/>
  <pageMargins left="0.25" right="0.25" top="0.5" bottom="0.5" header="0.25" footer="0.25"/>
  <pageSetup scale="76"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34567-9093-40D7-92DD-76D457DC7452}">
  <sheetPr codeName="Sheet149"/>
  <dimension ref="A1:M38"/>
  <sheetViews>
    <sheetView zoomScaleNormal="100" workbookViewId="0">
      <selection activeCell="C27" sqref="C27"/>
    </sheetView>
  </sheetViews>
  <sheetFormatPr defaultColWidth="9.109375" defaultRowHeight="13.2"/>
  <cols>
    <col min="1" max="1" width="3.6640625" customWidth="1"/>
    <col min="2" max="3" width="4.88671875" customWidth="1"/>
    <col min="4" max="4" width="35.6640625" customWidth="1"/>
    <col min="5" max="12" width="15.6640625" customWidth="1"/>
    <col min="13" max="13" width="15.33203125" customWidth="1"/>
  </cols>
  <sheetData>
    <row r="1" spans="1:13" ht="8.25" customHeight="1"/>
    <row r="2" spans="1:13" ht="20.399999999999999">
      <c r="B2" s="1131" t="s">
        <v>523</v>
      </c>
      <c r="C2" s="1131"/>
      <c r="D2" s="1131"/>
      <c r="E2" s="1131"/>
      <c r="F2" s="1131"/>
      <c r="G2" s="1131"/>
      <c r="H2" s="1131"/>
      <c r="I2" s="1131"/>
      <c r="J2" s="1131"/>
      <c r="K2" s="1131"/>
      <c r="L2" s="1131"/>
    </row>
    <row r="3" spans="1:13" ht="9.75" customHeight="1" thickBot="1">
      <c r="B3" s="1131"/>
      <c r="C3" s="1131"/>
      <c r="D3" s="1131"/>
      <c r="E3" s="1131"/>
      <c r="F3" s="1131"/>
      <c r="G3" s="1131"/>
      <c r="H3" s="1131"/>
      <c r="I3" s="1131"/>
      <c r="J3" s="1131"/>
      <c r="K3" s="1131"/>
      <c r="L3" s="1131"/>
    </row>
    <row r="4" spans="1:13" ht="13.5" customHeight="1" thickTop="1">
      <c r="B4" s="11"/>
      <c r="C4" s="11"/>
      <c r="D4" s="11"/>
      <c r="E4" s="1331" t="str">
        <f>'35- Cap Fund Imprv Auth'!E4:F6</f>
        <v>Balance - January 1, 2024</v>
      </c>
      <c r="F4" s="1227"/>
      <c r="G4" s="12"/>
      <c r="H4" s="12"/>
      <c r="I4" s="12"/>
      <c r="J4" s="12"/>
      <c r="K4" s="1331" t="str">
        <f>'35- Cap Fund Imprv Auth'!K4:L6</f>
        <v>Balance - December 31, 2024</v>
      </c>
      <c r="L4" s="1336"/>
    </row>
    <row r="5" spans="1:13" ht="13.5" customHeight="1">
      <c r="B5" s="1174" t="s">
        <v>514</v>
      </c>
      <c r="C5" s="1174"/>
      <c r="D5" s="1214"/>
      <c r="E5" s="1332"/>
      <c r="F5" s="1333"/>
      <c r="G5" s="20"/>
      <c r="H5" s="20"/>
      <c r="I5" s="20"/>
      <c r="J5" s="20"/>
      <c r="K5" s="1332"/>
      <c r="L5" s="1337"/>
    </row>
    <row r="6" spans="1:13" ht="13.5" customHeight="1">
      <c r="B6" s="1174" t="s">
        <v>515</v>
      </c>
      <c r="C6" s="1174"/>
      <c r="D6" s="1214"/>
      <c r="E6" s="1334"/>
      <c r="F6" s="1335"/>
      <c r="G6" s="20" t="str">
        <f>IF('KEY INPUTS'!C42="State Fiscal Year","Fiscal Year "&amp;'KEY INPUTS'!D33&amp;"",'KEY INPUTS'!D34)&amp;""</f>
        <v>2024</v>
      </c>
      <c r="H6" s="674" t="s">
        <v>218</v>
      </c>
      <c r="I6" s="20" t="s">
        <v>235</v>
      </c>
      <c r="J6" s="20" t="s">
        <v>519</v>
      </c>
      <c r="K6" s="1334"/>
      <c r="L6" s="1338"/>
    </row>
    <row r="7" spans="1:13" ht="13.5" customHeight="1">
      <c r="B7" s="1174" t="s">
        <v>516</v>
      </c>
      <c r="C7" s="1174"/>
      <c r="D7" s="1214"/>
      <c r="E7" s="13" t="s">
        <v>517</v>
      </c>
      <c r="F7" s="13" t="s">
        <v>518</v>
      </c>
      <c r="G7" s="13" t="s">
        <v>519</v>
      </c>
      <c r="H7" s="13"/>
      <c r="I7" s="13"/>
      <c r="J7" s="13" t="s">
        <v>439</v>
      </c>
      <c r="K7" s="13" t="s">
        <v>517</v>
      </c>
      <c r="L7" s="21" t="s">
        <v>518</v>
      </c>
    </row>
    <row r="8" spans="1:13" ht="13.5" customHeight="1" thickBot="1">
      <c r="B8" s="10"/>
      <c r="C8" s="10"/>
      <c r="D8" s="10"/>
      <c r="E8" s="14"/>
      <c r="F8" s="14"/>
      <c r="G8" s="16"/>
      <c r="H8" s="16"/>
      <c r="I8" s="14"/>
      <c r="J8" s="14"/>
      <c r="K8" s="16"/>
      <c r="L8" s="145"/>
    </row>
    <row r="9" spans="1:13" ht="21" customHeight="1" thickTop="1">
      <c r="B9" s="205" t="s">
        <v>3263</v>
      </c>
      <c r="C9" s="22"/>
      <c r="D9" s="23"/>
      <c r="E9" s="980">
        <f>+'35.9- Cap Fund Imprv Auth'!E28</f>
        <v>471366.23</v>
      </c>
      <c r="F9" s="980">
        <f>+'35.9- Cap Fund Imprv Auth'!F28</f>
        <v>244462.44</v>
      </c>
      <c r="G9" s="980">
        <f>+'35.9- Cap Fund Imprv Auth'!G28</f>
        <v>454885</v>
      </c>
      <c r="H9" s="980">
        <f>+'35.9- Cap Fund Imprv Auth'!H28</f>
        <v>0</v>
      </c>
      <c r="I9" s="980">
        <f>+'35.9- Cap Fund Imprv Auth'!I28</f>
        <v>475334.02</v>
      </c>
      <c r="J9" s="980">
        <f>+'35.9- Cap Fund Imprv Auth'!J28</f>
        <v>0</v>
      </c>
      <c r="K9" s="980">
        <f>+'35.9- Cap Fund Imprv Auth'!K28</f>
        <v>448602.51</v>
      </c>
      <c r="L9" s="981">
        <f>+'35.9- Cap Fund Imprv Auth'!L28</f>
        <v>246777.13999999998</v>
      </c>
    </row>
    <row r="10" spans="1:13" ht="21" customHeight="1">
      <c r="B10" s="999"/>
      <c r="C10" s="999"/>
      <c r="D10" s="1000"/>
      <c r="E10" s="426"/>
      <c r="F10" s="426"/>
      <c r="G10" s="426"/>
      <c r="H10" s="426"/>
      <c r="I10" s="426"/>
      <c r="J10" s="426"/>
      <c r="K10" s="426"/>
      <c r="L10" s="542"/>
    </row>
    <row r="11" spans="1:13" ht="21" customHeight="1">
      <c r="B11" s="999"/>
      <c r="C11" s="999"/>
      <c r="D11" s="1000"/>
      <c r="E11" s="426"/>
      <c r="F11" s="426"/>
      <c r="G11" s="426"/>
      <c r="H11" s="426"/>
      <c r="I11" s="426"/>
      <c r="J11" s="426"/>
      <c r="K11" s="426"/>
      <c r="L11" s="542"/>
    </row>
    <row r="12" spans="1:13" ht="21" customHeight="1">
      <c r="A12" s="1195" t="s">
        <v>3500</v>
      </c>
      <c r="B12" s="999"/>
      <c r="C12" s="999"/>
      <c r="D12" s="1000"/>
      <c r="E12" s="426"/>
      <c r="F12" s="426"/>
      <c r="G12" s="426"/>
      <c r="H12" s="426"/>
      <c r="I12" s="426"/>
      <c r="J12" s="426"/>
      <c r="K12" s="426"/>
      <c r="L12" s="542"/>
      <c r="M12" s="204"/>
    </row>
    <row r="13" spans="1:13" ht="21" customHeight="1">
      <c r="A13" s="1195"/>
      <c r="B13" s="999"/>
      <c r="C13" s="999"/>
      <c r="D13" s="1000"/>
      <c r="E13" s="426"/>
      <c r="F13" s="426"/>
      <c r="G13" s="426"/>
      <c r="H13" s="426"/>
      <c r="I13" s="426"/>
      <c r="J13" s="426"/>
      <c r="K13" s="426"/>
      <c r="L13" s="542"/>
    </row>
    <row r="14" spans="1:13" ht="21" customHeight="1">
      <c r="A14" s="1195"/>
      <c r="B14" s="999"/>
      <c r="C14" s="999"/>
      <c r="D14" s="1000"/>
      <c r="E14" s="426"/>
      <c r="F14" s="426"/>
      <c r="G14" s="426"/>
      <c r="H14" s="426"/>
      <c r="I14" s="426"/>
      <c r="J14" s="426"/>
      <c r="K14" s="426"/>
      <c r="L14" s="542"/>
    </row>
    <row r="15" spans="1:13" ht="21" customHeight="1">
      <c r="A15" s="1195"/>
      <c r="B15" s="999"/>
      <c r="C15" s="999"/>
      <c r="D15" s="1000"/>
      <c r="E15" s="426"/>
      <c r="F15" s="426"/>
      <c r="G15" s="426"/>
      <c r="H15" s="426"/>
      <c r="I15" s="426"/>
      <c r="J15" s="426"/>
      <c r="K15" s="426"/>
      <c r="L15" s="542"/>
    </row>
    <row r="16" spans="1:13" ht="21" customHeight="1">
      <c r="A16" s="1195"/>
      <c r="B16" s="999"/>
      <c r="C16" s="999"/>
      <c r="D16" s="1000"/>
      <c r="E16" s="426"/>
      <c r="F16" s="426"/>
      <c r="G16" s="426"/>
      <c r="H16" s="426"/>
      <c r="I16" s="426"/>
      <c r="J16" s="426"/>
      <c r="K16" s="426"/>
      <c r="L16" s="542"/>
    </row>
    <row r="17" spans="1:13" ht="21" customHeight="1">
      <c r="A17" s="1195"/>
      <c r="B17" s="999"/>
      <c r="C17" s="999"/>
      <c r="D17" s="1000"/>
      <c r="E17" s="426"/>
      <c r="F17" s="426"/>
      <c r="G17" s="426"/>
      <c r="H17" s="426"/>
      <c r="I17" s="426"/>
      <c r="J17" s="426"/>
      <c r="K17" s="426"/>
      <c r="L17" s="542"/>
    </row>
    <row r="18" spans="1:13" ht="21" customHeight="1">
      <c r="A18" s="1195"/>
      <c r="B18" s="999"/>
      <c r="C18" s="999"/>
      <c r="D18" s="1000"/>
      <c r="E18" s="426"/>
      <c r="F18" s="426"/>
      <c r="G18" s="426"/>
      <c r="H18" s="426"/>
      <c r="I18" s="426"/>
      <c r="J18" s="426"/>
      <c r="K18" s="426"/>
      <c r="L18" s="542"/>
    </row>
    <row r="19" spans="1:13" ht="21" customHeight="1">
      <c r="A19" s="1195"/>
      <c r="B19" s="999"/>
      <c r="C19" s="999"/>
      <c r="D19" s="1000"/>
      <c r="E19" s="426"/>
      <c r="F19" s="426"/>
      <c r="G19" s="426"/>
      <c r="H19" s="426"/>
      <c r="I19" s="426"/>
      <c r="J19" s="426"/>
      <c r="K19" s="426"/>
      <c r="L19" s="542"/>
    </row>
    <row r="20" spans="1:13" ht="21" customHeight="1">
      <c r="A20" s="1195"/>
      <c r="B20" s="999"/>
      <c r="C20" s="999"/>
      <c r="D20" s="1000"/>
      <c r="E20" s="426"/>
      <c r="F20" s="426"/>
      <c r="G20" s="426"/>
      <c r="H20" s="426"/>
      <c r="I20" s="426"/>
      <c r="J20" s="426"/>
      <c r="K20" s="426"/>
      <c r="L20" s="542"/>
    </row>
    <row r="21" spans="1:13" ht="21" customHeight="1">
      <c r="A21" s="1195"/>
      <c r="B21" s="999"/>
      <c r="C21" s="999"/>
      <c r="D21" s="1000"/>
      <c r="E21" s="426"/>
      <c r="F21" s="426"/>
      <c r="G21" s="426"/>
      <c r="H21" s="426"/>
      <c r="I21" s="426"/>
      <c r="J21" s="426"/>
      <c r="K21" s="426"/>
      <c r="L21" s="542"/>
    </row>
    <row r="22" spans="1:13" ht="21" customHeight="1">
      <c r="A22" s="1195"/>
      <c r="B22" s="999"/>
      <c r="C22" s="999"/>
      <c r="D22" s="1000"/>
      <c r="E22" s="426"/>
      <c r="F22" s="426"/>
      <c r="G22" s="426"/>
      <c r="H22" s="426"/>
      <c r="I22" s="426"/>
      <c r="J22" s="426"/>
      <c r="K22" s="426"/>
      <c r="L22" s="542"/>
    </row>
    <row r="23" spans="1:13" ht="21" customHeight="1">
      <c r="A23" s="1195"/>
      <c r="B23" s="999"/>
      <c r="C23" s="999"/>
      <c r="D23" s="1000"/>
      <c r="E23" s="426"/>
      <c r="F23" s="426"/>
      <c r="G23" s="426"/>
      <c r="H23" s="426"/>
      <c r="I23" s="426"/>
      <c r="J23" s="426"/>
      <c r="K23" s="426"/>
      <c r="L23" s="542"/>
    </row>
    <row r="24" spans="1:13" ht="21" customHeight="1">
      <c r="A24" s="1195"/>
      <c r="B24" s="999"/>
      <c r="C24" s="999"/>
      <c r="D24" s="1000"/>
      <c r="E24" s="426"/>
      <c r="F24" s="426"/>
      <c r="G24" s="426"/>
      <c r="H24" s="426"/>
      <c r="I24" s="426"/>
      <c r="J24" s="426"/>
      <c r="K24" s="426"/>
      <c r="L24" s="542"/>
      <c r="M24" s="204"/>
    </row>
    <row r="25" spans="1:13" ht="21" customHeight="1">
      <c r="B25" s="999"/>
      <c r="C25" s="999"/>
      <c r="D25" s="1000"/>
      <c r="E25" s="426"/>
      <c r="F25" s="426"/>
      <c r="G25" s="426"/>
      <c r="H25" s="426"/>
      <c r="I25" s="426"/>
      <c r="J25" s="426"/>
      <c r="K25" s="426"/>
      <c r="L25" s="542"/>
    </row>
    <row r="26" spans="1:13" ht="21" customHeight="1">
      <c r="B26" s="999"/>
      <c r="C26" s="999"/>
      <c r="D26" s="1000"/>
      <c r="E26" s="426"/>
      <c r="F26" s="426"/>
      <c r="G26" s="426"/>
      <c r="H26" s="426"/>
      <c r="I26" s="426"/>
      <c r="J26" s="426"/>
      <c r="K26" s="426"/>
      <c r="L26" s="542"/>
    </row>
    <row r="27" spans="1:13" ht="21" customHeight="1" thickBot="1">
      <c r="B27" s="139"/>
      <c r="C27" s="5"/>
      <c r="D27" s="71"/>
      <c r="E27" s="984"/>
      <c r="F27" s="984"/>
      <c r="G27" s="984"/>
      <c r="H27" s="984"/>
      <c r="I27" s="984"/>
      <c r="J27" s="984"/>
      <c r="K27" s="984"/>
      <c r="L27" s="985"/>
    </row>
    <row r="28" spans="1:13" ht="21" customHeight="1" thickTop="1" thickBot="1">
      <c r="B28" s="140"/>
      <c r="C28" s="27"/>
      <c r="D28" s="604" t="s">
        <v>3344</v>
      </c>
      <c r="E28" s="982">
        <f t="shared" ref="E28:K28" si="0">SUM(E9:E27)</f>
        <v>471366.23</v>
      </c>
      <c r="F28" s="982">
        <f>SUM(F9:F27)</f>
        <v>244462.44</v>
      </c>
      <c r="G28" s="982">
        <f t="shared" si="0"/>
        <v>454885</v>
      </c>
      <c r="H28" s="982">
        <f t="shared" si="0"/>
        <v>0</v>
      </c>
      <c r="I28" s="982">
        <f t="shared" si="0"/>
        <v>475334.02</v>
      </c>
      <c r="J28" s="982">
        <f t="shared" si="0"/>
        <v>0</v>
      </c>
      <c r="K28" s="982">
        <f t="shared" si="0"/>
        <v>448602.51</v>
      </c>
      <c r="L28" s="983">
        <f>SUM(L9:L27)</f>
        <v>246777.13999999998</v>
      </c>
    </row>
    <row r="29" spans="1:13" ht="13.5" customHeight="1" thickTop="1">
      <c r="B29" s="144"/>
      <c r="C29" s="34" t="s">
        <v>521</v>
      </c>
      <c r="D29" s="142"/>
      <c r="K29" s="54"/>
      <c r="L29" s="54"/>
    </row>
    <row r="30" spans="1:13">
      <c r="K30" s="204"/>
      <c r="L30" s="61"/>
    </row>
    <row r="33" spans="5:12">
      <c r="E33" s="204"/>
      <c r="F33" s="204"/>
    </row>
    <row r="34" spans="5:12">
      <c r="K34" s="204"/>
      <c r="L34" s="204"/>
    </row>
    <row r="35" spans="5:12">
      <c r="L35" s="204"/>
    </row>
    <row r="36" spans="5:12">
      <c r="L36" s="204"/>
    </row>
    <row r="38" spans="5:12">
      <c r="L38" s="204"/>
    </row>
  </sheetData>
  <sheetProtection algorithmName="SHA-512" hashValue="jufYuMlj1mYJOwhBnDW4PsoYi5ziuAw9/evTj55wr/x7l7XwA6v9cPHo44w6yfx8ViOtphl7Hvcf3vXU9kMZyA==" saltValue="tbPlUc6/QVYSgxlcogJ7Lw=="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50"/>
  <dimension ref="B3:M54"/>
  <sheetViews>
    <sheetView topLeftCell="A12" zoomScaleNormal="100" workbookViewId="0">
      <selection activeCell="I30" sqref="I30"/>
    </sheetView>
  </sheetViews>
  <sheetFormatPr defaultRowHeight="13.2"/>
  <cols>
    <col min="1" max="4" width="4.6640625" customWidth="1"/>
    <col min="7" max="7" width="14.44140625" customWidth="1"/>
    <col min="8" max="8" width="15" customWidth="1"/>
    <col min="9" max="10" width="16.6640625" customWidth="1"/>
    <col min="11" max="11" width="11.109375" bestFit="1" customWidth="1"/>
  </cols>
  <sheetData>
    <row r="3" spans="2:13" ht="22.8">
      <c r="B3" s="1176" t="s">
        <v>524</v>
      </c>
      <c r="C3" s="1176"/>
      <c r="D3" s="1176"/>
      <c r="E3" s="1176"/>
      <c r="F3" s="1176"/>
      <c r="G3" s="1176"/>
      <c r="H3" s="1176"/>
      <c r="I3" s="1176"/>
      <c r="J3" s="1176"/>
    </row>
    <row r="5" spans="2:13" ht="15.6">
      <c r="B5" s="1132" t="s">
        <v>525</v>
      </c>
      <c r="C5" s="1132"/>
      <c r="D5" s="1132"/>
      <c r="E5" s="1132"/>
      <c r="F5" s="1132"/>
      <c r="G5" s="1132"/>
      <c r="H5" s="1132"/>
      <c r="I5" s="1132"/>
      <c r="J5" s="1132"/>
    </row>
    <row r="6" spans="2:13" ht="13.8" thickBot="1"/>
    <row r="7" spans="2:13" ht="28.5" customHeight="1" thickTop="1" thickBot="1">
      <c r="B7" s="58"/>
      <c r="C7" s="58"/>
      <c r="D7" s="58"/>
      <c r="E7" s="58"/>
      <c r="F7" s="58"/>
      <c r="G7" s="58"/>
      <c r="H7" s="58"/>
      <c r="I7" s="4" t="s">
        <v>96</v>
      </c>
      <c r="J7" s="3" t="s">
        <v>97</v>
      </c>
    </row>
    <row r="8" spans="2:13" ht="21" customHeight="1" thickTop="1">
      <c r="B8" s="22" t="str">
        <f>IF('KEY INPUTS'!C42 = "State Fiscal Year", 'KEY INPUTS'!F25,'KEY INPUTS'!D25)</f>
        <v>Balance - January 1, 2024</v>
      </c>
      <c r="C8" s="22"/>
      <c r="D8" s="22"/>
      <c r="E8" s="22"/>
      <c r="F8" s="22"/>
      <c r="G8" s="22"/>
      <c r="H8" s="47"/>
      <c r="I8" s="137" t="s">
        <v>627</v>
      </c>
      <c r="J8" s="675">
        <v>269823.99</v>
      </c>
      <c r="K8" s="204"/>
    </row>
    <row r="9" spans="2:13" ht="21" customHeight="1">
      <c r="B9" s="5" t="str">
        <f>"Received from "&amp;IF('KEY INPUTS'!C42="State Fiscal Year","Fiscal Year "&amp;'KEY INPUTS'!D33&amp;"",'KEY INPUTS'!D34)&amp;" Budget Appropriation*"</f>
        <v>Received from 2024 Budget Appropriation*</v>
      </c>
      <c r="C9" s="5"/>
      <c r="D9" s="5"/>
      <c r="E9" s="5"/>
      <c r="F9" s="5"/>
      <c r="G9" s="5"/>
      <c r="H9" s="46"/>
      <c r="I9" s="138" t="s">
        <v>627</v>
      </c>
      <c r="J9" s="431">
        <v>175000</v>
      </c>
    </row>
    <row r="10" spans="2:13" ht="21" customHeight="1">
      <c r="B10" s="417"/>
      <c r="C10" s="417"/>
      <c r="D10" s="417"/>
      <c r="E10" s="417"/>
      <c r="F10" s="417"/>
      <c r="G10" s="417"/>
      <c r="H10" s="417"/>
      <c r="I10" s="138" t="s">
        <v>627</v>
      </c>
      <c r="J10" s="429"/>
    </row>
    <row r="11" spans="2:13" ht="11.25" customHeight="1">
      <c r="B11" s="32" t="s">
        <v>176</v>
      </c>
      <c r="C11" s="7"/>
      <c r="D11" s="7"/>
      <c r="E11" s="7"/>
      <c r="F11" s="7"/>
      <c r="G11" s="7"/>
      <c r="H11" s="79"/>
      <c r="I11" s="1341" t="s">
        <v>627</v>
      </c>
      <c r="J11" s="1339"/>
    </row>
    <row r="12" spans="2:13" ht="12.75" customHeight="1">
      <c r="B12" s="30"/>
      <c r="C12" s="33" t="s">
        <v>177</v>
      </c>
      <c r="D12" s="30"/>
      <c r="E12" s="30"/>
      <c r="F12" s="30"/>
      <c r="G12" s="30"/>
      <c r="H12" s="50"/>
      <c r="I12" s="1342"/>
      <c r="J12" s="1340"/>
    </row>
    <row r="13" spans="2:13" ht="21" customHeight="1">
      <c r="B13" s="292"/>
      <c r="C13" s="764"/>
      <c r="D13" s="292"/>
      <c r="E13" s="292"/>
      <c r="F13" s="292"/>
      <c r="G13" s="292"/>
      <c r="H13" s="292"/>
      <c r="I13" s="701"/>
      <c r="J13" s="431"/>
      <c r="M13" s="294"/>
    </row>
    <row r="14" spans="2:13" ht="21" customHeight="1">
      <c r="B14" s="5" t="s">
        <v>178</v>
      </c>
      <c r="C14" s="5"/>
      <c r="D14" s="5"/>
      <c r="E14" s="5"/>
      <c r="F14" s="5"/>
      <c r="G14" s="5"/>
      <c r="H14" s="5"/>
      <c r="I14" s="138" t="s">
        <v>627</v>
      </c>
      <c r="J14" s="121" t="s">
        <v>627</v>
      </c>
    </row>
    <row r="15" spans="2:13" ht="21" customHeight="1">
      <c r="B15" s="417"/>
      <c r="C15" s="417"/>
      <c r="D15" s="417"/>
      <c r="E15" s="417"/>
      <c r="F15" s="417"/>
      <c r="G15" s="417"/>
      <c r="H15" s="417"/>
      <c r="I15" s="291"/>
      <c r="J15" s="121" t="s">
        <v>627</v>
      </c>
    </row>
    <row r="16" spans="2:13" ht="21" customHeight="1">
      <c r="B16" s="417"/>
      <c r="C16" s="417"/>
      <c r="D16" s="417"/>
      <c r="E16" s="417"/>
      <c r="F16" s="417"/>
      <c r="G16" s="417"/>
      <c r="H16" s="417"/>
      <c r="I16" s="291"/>
      <c r="J16" s="121" t="s">
        <v>627</v>
      </c>
    </row>
    <row r="17" spans="2:12" ht="21" customHeight="1">
      <c r="B17" s="417"/>
      <c r="C17" s="417"/>
      <c r="D17" s="417"/>
      <c r="E17" s="417"/>
      <c r="F17" s="417"/>
      <c r="G17" s="417"/>
      <c r="H17" s="417"/>
      <c r="I17" s="291"/>
      <c r="J17" s="121" t="s">
        <v>627</v>
      </c>
    </row>
    <row r="18" spans="2:12" ht="21" customHeight="1">
      <c r="B18" s="417"/>
      <c r="C18" s="417"/>
      <c r="D18" s="417"/>
      <c r="E18" s="417"/>
      <c r="F18" s="417"/>
      <c r="G18" s="417"/>
      <c r="H18" s="417"/>
      <c r="I18" s="291"/>
      <c r="J18" s="121" t="s">
        <v>627</v>
      </c>
    </row>
    <row r="19" spans="2:12" ht="21" customHeight="1">
      <c r="B19" s="417"/>
      <c r="C19" s="417"/>
      <c r="D19" s="417"/>
      <c r="E19" s="417"/>
      <c r="F19" s="417"/>
      <c r="G19" s="417"/>
      <c r="H19" s="417"/>
      <c r="I19" s="291"/>
      <c r="J19" s="121" t="s">
        <v>627</v>
      </c>
    </row>
    <row r="20" spans="2:12" ht="21" customHeight="1">
      <c r="B20" s="417"/>
      <c r="C20" s="417"/>
      <c r="D20" s="417"/>
      <c r="E20" s="417"/>
      <c r="F20" s="417"/>
      <c r="G20" s="417"/>
      <c r="H20" s="417"/>
      <c r="I20" s="291"/>
      <c r="J20" s="121" t="s">
        <v>627</v>
      </c>
    </row>
    <row r="21" spans="2:12" ht="21" customHeight="1">
      <c r="B21" s="417"/>
      <c r="C21" s="417"/>
      <c r="D21" s="417"/>
      <c r="E21" s="417"/>
      <c r="F21" s="417"/>
      <c r="G21" s="417"/>
      <c r="H21" s="417"/>
      <c r="I21" s="291"/>
      <c r="J21" s="121" t="s">
        <v>627</v>
      </c>
    </row>
    <row r="22" spans="2:12" ht="21" customHeight="1">
      <c r="B22" s="417"/>
      <c r="C22" s="417"/>
      <c r="D22" s="417"/>
      <c r="E22" s="417"/>
      <c r="F22" s="417"/>
      <c r="G22" s="417"/>
      <c r="H22" s="417"/>
      <c r="I22" s="291"/>
      <c r="J22" s="121" t="s">
        <v>627</v>
      </c>
    </row>
    <row r="23" spans="2:12" ht="21" customHeight="1">
      <c r="B23" s="417"/>
      <c r="C23" s="417"/>
      <c r="D23" s="417"/>
      <c r="E23" s="417"/>
      <c r="F23" s="417"/>
      <c r="G23" s="417"/>
      <c r="H23" s="417"/>
      <c r="I23" s="291"/>
      <c r="J23" s="121" t="s">
        <v>627</v>
      </c>
    </row>
    <row r="24" spans="2:12" ht="21" customHeight="1">
      <c r="B24" s="417"/>
      <c r="C24" s="417"/>
      <c r="D24" s="417"/>
      <c r="E24" s="417"/>
      <c r="F24" s="417"/>
      <c r="G24" s="417"/>
      <c r="H24" s="417"/>
      <c r="I24" s="291"/>
      <c r="J24" s="121" t="s">
        <v>627</v>
      </c>
    </row>
    <row r="25" spans="2:12" ht="21" customHeight="1">
      <c r="B25" s="417"/>
      <c r="C25" s="417"/>
      <c r="D25" s="417"/>
      <c r="E25" s="417"/>
      <c r="F25" s="417"/>
      <c r="G25" s="417"/>
      <c r="H25" s="417"/>
      <c r="I25" s="291"/>
      <c r="J25" s="121" t="s">
        <v>627</v>
      </c>
    </row>
    <row r="26" spans="2:12" ht="21" customHeight="1">
      <c r="B26" s="417"/>
      <c r="C26" s="417"/>
      <c r="D26" s="417"/>
      <c r="E26" s="417"/>
      <c r="F26" s="417"/>
      <c r="G26" s="417"/>
      <c r="H26" s="417"/>
      <c r="I26" s="291"/>
      <c r="J26" s="121" t="s">
        <v>627</v>
      </c>
    </row>
    <row r="27" spans="2:12" ht="21" customHeight="1">
      <c r="B27" s="417"/>
      <c r="C27" s="417"/>
      <c r="D27" s="417"/>
      <c r="E27" s="417"/>
      <c r="F27" s="417"/>
      <c r="G27" s="417"/>
      <c r="H27" s="417"/>
      <c r="I27" s="291"/>
      <c r="J27" s="121" t="s">
        <v>627</v>
      </c>
    </row>
    <row r="28" spans="2:12" ht="21" customHeight="1">
      <c r="B28" s="417"/>
      <c r="C28" s="417"/>
      <c r="D28" s="417"/>
      <c r="E28" s="417"/>
      <c r="F28" s="417"/>
      <c r="G28" s="417"/>
      <c r="H28" s="417"/>
      <c r="I28" s="291"/>
      <c r="J28" s="121" t="s">
        <v>627</v>
      </c>
    </row>
    <row r="29" spans="2:12" ht="21" customHeight="1">
      <c r="B29" s="5" t="s">
        <v>179</v>
      </c>
      <c r="C29" s="5"/>
      <c r="D29" s="5"/>
      <c r="E29" s="5"/>
      <c r="F29" s="5"/>
      <c r="G29" s="5"/>
      <c r="H29" s="46"/>
      <c r="I29" s="291">
        <v>217385</v>
      </c>
      <c r="J29" s="121" t="s">
        <v>627</v>
      </c>
    </row>
    <row r="30" spans="2:12" ht="21" customHeight="1">
      <c r="B30" s="5"/>
      <c r="C30" s="5"/>
      <c r="D30" s="5"/>
      <c r="E30" s="5"/>
      <c r="F30" s="5"/>
      <c r="G30" s="5"/>
      <c r="H30" s="5"/>
      <c r="I30" s="64"/>
      <c r="J30" s="121" t="s">
        <v>627</v>
      </c>
    </row>
    <row r="31" spans="2:12" ht="21" customHeight="1" thickBot="1">
      <c r="B31" s="5" t="str">
        <f>IF('KEY INPUTS'!C42 = "State Fiscal Year", 'KEY INPUTS'!F26,'KEY INPUTS'!D26)</f>
        <v>Balance - December 31, 2024</v>
      </c>
      <c r="C31" s="5"/>
      <c r="D31" s="5"/>
      <c r="E31" s="5"/>
      <c r="F31" s="5"/>
      <c r="G31" s="5"/>
      <c r="H31" s="46"/>
      <c r="I31" s="66">
        <f>+SUM(J8:J13)-SUM(I13:I30)</f>
        <v>227438.99</v>
      </c>
      <c r="J31" s="148" t="s">
        <v>627</v>
      </c>
      <c r="K31" s="204"/>
    </row>
    <row r="32" spans="2:12" ht="21" customHeight="1" thickTop="1" thickBot="1">
      <c r="I32" s="67">
        <f>SUM(I8:I31)</f>
        <v>444823.99</v>
      </c>
      <c r="J32" s="68">
        <f>SUM(J8:J31)</f>
        <v>444823.99</v>
      </c>
      <c r="L32" s="204"/>
    </row>
    <row r="33" spans="2:11" ht="13.8" thickTop="1"/>
    <row r="34" spans="2:11">
      <c r="K34" s="204"/>
    </row>
    <row r="37" spans="2:11">
      <c r="B37" t="str">
        <f>"*The full amount of the "&amp;IF('KEY INPUTS'!C42="State Fiscal Year","Fiscal Year "&amp;'KEY INPUTS'!D33&amp;"",'KEY INPUTS'!D34)&amp;" budget appropriation should be transferred to this account unless the"</f>
        <v>*The full amount of the 2024 budget appropriation should be transferred to this account unless the</v>
      </c>
    </row>
    <row r="38" spans="2:11">
      <c r="B38" s="239" t="s">
        <v>3568</v>
      </c>
    </row>
    <row r="54" spans="2:10" ht="13.8">
      <c r="B54" s="1130" t="s">
        <v>175</v>
      </c>
      <c r="C54" s="1130"/>
      <c r="D54" s="1130"/>
      <c r="E54" s="1130"/>
      <c r="F54" s="1130"/>
      <c r="G54" s="1130"/>
      <c r="H54" s="1130"/>
      <c r="I54" s="1130"/>
      <c r="J54" s="1130"/>
    </row>
  </sheetData>
  <sheetProtection algorithmName="SHA-512" hashValue="V4wh7t8KzG+0+iZgZ+GB8DyMKpS49ClUKlaBsZpcWSaQvQZpV/1FXq1xrs0Sb5hwpQzKLlXKKri8NpFYWbkd0g==" saltValue="zcjnUulAEzReEogSQBgYTQ==" spinCount="100000" sheet="1" objects="1" scenarios="1"/>
  <mergeCells count="5">
    <mergeCell ref="B3:J3"/>
    <mergeCell ref="B5:J5"/>
    <mergeCell ref="B54:J54"/>
    <mergeCell ref="J11:J12"/>
    <mergeCell ref="I11:I12"/>
  </mergeCells>
  <phoneticPr fontId="0" type="noConversion"/>
  <pageMargins left="0.25" right="0.25" top="0.5" bottom="0.5" header="0.25" footer="0.25"/>
  <pageSetup paperSize="5"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51"/>
  <dimension ref="B3:N54"/>
  <sheetViews>
    <sheetView topLeftCell="B14" zoomScaleNormal="100" workbookViewId="0">
      <selection activeCell="J30" sqref="J30"/>
    </sheetView>
  </sheetViews>
  <sheetFormatPr defaultRowHeight="13.2"/>
  <cols>
    <col min="1" max="1" width="4.6640625" customWidth="1"/>
    <col min="2" max="2" width="6.6640625" customWidth="1"/>
    <col min="3" max="4" width="4.6640625" customWidth="1"/>
    <col min="6" max="6" width="6.6640625" customWidth="1"/>
    <col min="7" max="10" width="16.6640625" customWidth="1"/>
  </cols>
  <sheetData>
    <row r="3" spans="2:14" ht="22.8">
      <c r="B3" s="1176" t="s">
        <v>524</v>
      </c>
      <c r="C3" s="1176"/>
      <c r="D3" s="1176"/>
      <c r="E3" s="1176"/>
      <c r="F3" s="1176"/>
      <c r="G3" s="1176"/>
      <c r="H3" s="1176"/>
      <c r="I3" s="1176"/>
      <c r="J3" s="1176"/>
    </row>
    <row r="5" spans="2:14" ht="15.6">
      <c r="B5" s="1132" t="s">
        <v>180</v>
      </c>
      <c r="C5" s="1132"/>
      <c r="D5" s="1132"/>
      <c r="E5" s="1132"/>
      <c r="F5" s="1132"/>
      <c r="G5" s="1132"/>
      <c r="H5" s="1132"/>
      <c r="I5" s="1132"/>
      <c r="J5" s="1132"/>
    </row>
    <row r="6" spans="2:14" ht="13.8" thickBot="1"/>
    <row r="7" spans="2:14" ht="28.5" customHeight="1" thickTop="1" thickBot="1">
      <c r="B7" s="58"/>
      <c r="C7" s="58"/>
      <c r="D7" s="58"/>
      <c r="E7" s="58"/>
      <c r="F7" s="58"/>
      <c r="G7" s="58"/>
      <c r="H7" s="58"/>
      <c r="I7" s="4" t="s">
        <v>96</v>
      </c>
      <c r="J7" s="3" t="s">
        <v>97</v>
      </c>
    </row>
    <row r="8" spans="2:14" ht="21" customHeight="1" thickTop="1">
      <c r="B8" s="22" t="str">
        <f>'36- Capital Improvement Fund'!B8</f>
        <v>Balance - January 1, 2024</v>
      </c>
      <c r="C8" s="22"/>
      <c r="D8" s="22"/>
      <c r="E8" s="22"/>
      <c r="F8" s="22"/>
      <c r="G8" s="22"/>
      <c r="H8" s="47"/>
      <c r="I8" s="757" t="s">
        <v>627</v>
      </c>
      <c r="J8" s="487"/>
    </row>
    <row r="9" spans="2:14" ht="21" customHeight="1">
      <c r="B9" s="5" t="str">
        <f>"Received from "&amp;IF('KEY INPUTS'!C42="State Fiscal Year","Fiscal Year "&amp;'KEY INPUTS'!D33&amp;"",'KEY INPUTS'!D34)&amp;" Budget Appropriation*"</f>
        <v>Received from 2024 Budget Appropriation*</v>
      </c>
      <c r="C9" s="5"/>
      <c r="D9" s="5"/>
      <c r="E9" s="5"/>
      <c r="F9" s="5"/>
      <c r="G9" s="5"/>
      <c r="H9" s="46"/>
      <c r="I9" s="702" t="s">
        <v>627</v>
      </c>
      <c r="J9" s="479"/>
      <c r="N9" s="294"/>
    </row>
    <row r="10" spans="2:14" ht="21" customHeight="1">
      <c r="B10" s="5" t="str">
        <f>"Received from "&amp;IF('KEY INPUTS'!C42="State Fiscal Year","Fiscal Year "&amp;'KEY INPUTS'!D33&amp;"",'KEY INPUTS'!D34)&amp;" Emergency Appropriation*"</f>
        <v>Received from 2024 Emergency Appropriation*</v>
      </c>
      <c r="C10" s="5"/>
      <c r="D10" s="5"/>
      <c r="E10" s="5"/>
      <c r="F10" s="5"/>
      <c r="G10" s="5"/>
      <c r="H10" s="46"/>
      <c r="I10" s="702" t="s">
        <v>627</v>
      </c>
      <c r="J10" s="479"/>
    </row>
    <row r="11" spans="2:14" ht="21" customHeight="1">
      <c r="B11" s="417"/>
      <c r="C11" s="417"/>
      <c r="D11" s="417"/>
      <c r="E11" s="417"/>
      <c r="F11" s="417"/>
      <c r="G11" s="417"/>
      <c r="H11" s="617"/>
      <c r="I11" s="765"/>
      <c r="J11" s="293"/>
    </row>
    <row r="12" spans="2:14" ht="21" customHeight="1">
      <c r="B12" s="417"/>
      <c r="C12" s="417"/>
      <c r="D12" s="417"/>
      <c r="E12" s="417"/>
      <c r="F12" s="417"/>
      <c r="G12" s="417"/>
      <c r="H12" s="417"/>
      <c r="I12" s="450"/>
      <c r="J12" s="706" t="s">
        <v>627</v>
      </c>
    </row>
    <row r="13" spans="2:14" ht="21" customHeight="1">
      <c r="B13" s="5" t="s">
        <v>179</v>
      </c>
      <c r="C13" s="5"/>
      <c r="D13" s="5"/>
      <c r="E13" s="5"/>
      <c r="F13" s="5"/>
      <c r="G13" s="5"/>
      <c r="H13" s="46"/>
      <c r="I13" s="932"/>
      <c r="J13" s="706" t="s">
        <v>627</v>
      </c>
    </row>
    <row r="14" spans="2:14" ht="21" customHeight="1">
      <c r="B14" s="417"/>
      <c r="C14" s="417"/>
      <c r="D14" s="417"/>
      <c r="E14" s="417"/>
      <c r="F14" s="417"/>
      <c r="G14" s="417"/>
      <c r="H14" s="417"/>
      <c r="I14" s="450"/>
      <c r="J14" s="706" t="s">
        <v>627</v>
      </c>
    </row>
    <row r="15" spans="2:14" ht="21" customHeight="1" thickBot="1">
      <c r="B15" s="5" t="str">
        <f>'36- Capital Improvement Fund'!B31</f>
        <v>Balance - December 31, 2024</v>
      </c>
      <c r="C15" s="5"/>
      <c r="D15" s="5"/>
      <c r="E15" s="5"/>
      <c r="F15" s="5"/>
      <c r="G15" s="5"/>
      <c r="H15" s="46"/>
      <c r="I15" s="768">
        <f>+SUM(J8:J11)-SUM(I11:I14)</f>
        <v>0</v>
      </c>
      <c r="J15" s="766" t="s">
        <v>627</v>
      </c>
    </row>
    <row r="16" spans="2:14" ht="21" customHeight="1" thickTop="1" thickBot="1">
      <c r="I16" s="748">
        <f>SUM(I8:I15)</f>
        <v>0</v>
      </c>
      <c r="J16" s="769">
        <f>SUM(J8:J15)</f>
        <v>0</v>
      </c>
    </row>
    <row r="17" spans="2:11" ht="13.8" thickTop="1"/>
    <row r="18" spans="2:11">
      <c r="C18" s="175" t="str">
        <f>"*The full amount of the "&amp;IF('KEY INPUTS'!C42="State Fiscal Year","Fiscal Year "&amp;'KEY INPUTS'!D33&amp;"",'KEY INPUTS'!D34)&amp;" budget appropriation should be transferred to this account unless the"</f>
        <v>*The full amount of the 2024 budget appropriation should be transferred to this account unless the</v>
      </c>
      <c r="D18" s="175"/>
      <c r="E18" s="175"/>
    </row>
    <row r="19" spans="2:11">
      <c r="C19" s="175"/>
      <c r="D19" s="175" t="s">
        <v>3568</v>
      </c>
      <c r="E19" s="175"/>
    </row>
    <row r="21" spans="2:11" ht="17.399999999999999">
      <c r="B21" s="1186" t="str">
        <f>"CAPITAL  IMPROVEMENTS  AUTHORIZED  IN  "&amp;IF('KEY INPUTS'!C42="State Fiscal Year","FISCAL  YEAR  "&amp;'KEY INPUTS'!D33&amp;"",'KEY INPUTS'!D34)&amp;""</f>
        <v>CAPITAL  IMPROVEMENTS  AUTHORIZED  IN  2024</v>
      </c>
      <c r="C21" s="1186"/>
      <c r="D21" s="1186"/>
      <c r="E21" s="1186"/>
      <c r="F21" s="1186"/>
      <c r="G21" s="1186"/>
      <c r="H21" s="1186"/>
      <c r="I21" s="1186"/>
      <c r="J21" s="1186"/>
    </row>
    <row r="22" spans="2:11" ht="17.399999999999999">
      <c r="B22" s="1186" t="s">
        <v>3569</v>
      </c>
      <c r="C22" s="1186"/>
      <c r="D22" s="1186"/>
      <c r="E22" s="1186"/>
      <c r="F22" s="1186"/>
      <c r="G22" s="1186"/>
      <c r="H22" s="1186"/>
      <c r="I22" s="1186"/>
      <c r="J22" s="1186"/>
    </row>
    <row r="23" spans="2:11" ht="11.25" customHeight="1" thickBot="1"/>
    <row r="24" spans="2:11" ht="13.8" thickTop="1">
      <c r="B24" s="11"/>
      <c r="C24" s="11"/>
      <c r="D24" s="11"/>
      <c r="E24" s="11"/>
      <c r="F24" s="11"/>
      <c r="G24" s="12"/>
      <c r="H24" s="12"/>
      <c r="I24" s="12"/>
      <c r="J24" s="51"/>
    </row>
    <row r="25" spans="2:11">
      <c r="C25" s="1174" t="s">
        <v>413</v>
      </c>
      <c r="D25" s="1174"/>
      <c r="E25" s="1174"/>
      <c r="G25" s="13" t="s">
        <v>414</v>
      </c>
      <c r="H25" s="13" t="s">
        <v>201</v>
      </c>
      <c r="I25" s="13" t="s">
        <v>204</v>
      </c>
      <c r="J25" s="1" t="s">
        <v>3575</v>
      </c>
    </row>
    <row r="26" spans="2:11">
      <c r="G26" s="13" t="s">
        <v>202</v>
      </c>
      <c r="H26" s="13" t="s">
        <v>203</v>
      </c>
      <c r="I26" s="13" t="s">
        <v>205</v>
      </c>
      <c r="J26" s="1" t="s">
        <v>3574</v>
      </c>
    </row>
    <row r="27" spans="2:11" ht="13.8" thickBot="1">
      <c r="B27" s="10"/>
      <c r="C27" s="10"/>
      <c r="D27" s="10"/>
      <c r="E27" s="10"/>
      <c r="F27" s="10"/>
      <c r="G27" s="16"/>
      <c r="H27" s="16" t="s">
        <v>441</v>
      </c>
      <c r="I27" s="16" t="s">
        <v>239</v>
      </c>
      <c r="J27" s="1050"/>
    </row>
    <row r="28" spans="2:11" ht="21" customHeight="1" thickTop="1">
      <c r="B28" s="488" t="s">
        <v>3725</v>
      </c>
      <c r="C28" s="488"/>
      <c r="D28" s="420"/>
      <c r="E28" s="420"/>
      <c r="F28" s="420"/>
      <c r="G28" s="422">
        <v>50000</v>
      </c>
      <c r="H28" s="422"/>
      <c r="I28" s="422">
        <v>50000</v>
      </c>
      <c r="J28" s="485"/>
      <c r="K28" s="570"/>
    </row>
    <row r="29" spans="2:11" ht="21" customHeight="1">
      <c r="B29" s="489" t="s">
        <v>3726</v>
      </c>
      <c r="C29" s="490"/>
      <c r="D29" s="490"/>
      <c r="E29" s="490"/>
      <c r="F29" s="490"/>
      <c r="G29" s="291">
        <v>7885</v>
      </c>
      <c r="H29" s="291"/>
      <c r="I29" s="291">
        <v>7885</v>
      </c>
      <c r="J29" s="429"/>
      <c r="K29" s="579"/>
    </row>
    <row r="30" spans="2:11" ht="21" customHeight="1">
      <c r="B30" s="417" t="s">
        <v>3727</v>
      </c>
      <c r="C30" s="417"/>
      <c r="D30" s="417"/>
      <c r="E30" s="417"/>
      <c r="F30" s="417"/>
      <c r="G30" s="291">
        <v>140000</v>
      </c>
      <c r="H30" s="291"/>
      <c r="I30" s="291">
        <v>140000</v>
      </c>
      <c r="J30" s="429"/>
    </row>
    <row r="31" spans="2:11" ht="21" customHeight="1">
      <c r="B31" s="417" t="s">
        <v>3728</v>
      </c>
      <c r="C31" s="417"/>
      <c r="D31" s="417"/>
      <c r="E31" s="417"/>
      <c r="F31" s="417"/>
      <c r="G31" s="291">
        <v>250000</v>
      </c>
      <c r="H31" s="291">
        <v>237500</v>
      </c>
      <c r="I31" s="291">
        <v>12500</v>
      </c>
      <c r="J31" s="429"/>
    </row>
    <row r="32" spans="2:11" ht="21" customHeight="1">
      <c r="B32" s="417" t="s">
        <v>3729</v>
      </c>
      <c r="C32" s="417"/>
      <c r="D32" s="417"/>
      <c r="E32" s="417"/>
      <c r="F32" s="417"/>
      <c r="G32" s="291">
        <v>7000</v>
      </c>
      <c r="H32" s="291"/>
      <c r="I32" s="291">
        <v>7000</v>
      </c>
      <c r="J32" s="429"/>
    </row>
    <row r="33" spans="2:11" ht="21" customHeight="1">
      <c r="B33" s="417"/>
      <c r="C33" s="417"/>
      <c r="D33" s="417"/>
      <c r="E33" s="417"/>
      <c r="F33" s="417"/>
      <c r="G33" s="291"/>
      <c r="H33" s="291"/>
      <c r="I33" s="291"/>
      <c r="J33" s="429"/>
    </row>
    <row r="34" spans="2:11" ht="21" customHeight="1">
      <c r="B34" s="417"/>
      <c r="C34" s="417"/>
      <c r="D34" s="417"/>
      <c r="E34" s="417"/>
      <c r="F34" s="417"/>
      <c r="G34" s="291"/>
      <c r="H34" s="291"/>
      <c r="I34" s="291"/>
      <c r="J34" s="429"/>
    </row>
    <row r="35" spans="2:11" ht="21" customHeight="1">
      <c r="B35" s="417"/>
      <c r="C35" s="417"/>
      <c r="D35" s="417"/>
      <c r="E35" s="417"/>
      <c r="F35" s="417"/>
      <c r="G35" s="291"/>
      <c r="H35" s="291"/>
      <c r="I35" s="291"/>
      <c r="J35" s="429"/>
    </row>
    <row r="36" spans="2:11" ht="21" customHeight="1">
      <c r="B36" s="417"/>
      <c r="C36" s="417"/>
      <c r="D36" s="417"/>
      <c r="E36" s="417"/>
      <c r="F36" s="417"/>
      <c r="G36" s="291"/>
      <c r="H36" s="291"/>
      <c r="I36" s="291"/>
      <c r="J36" s="429"/>
    </row>
    <row r="37" spans="2:11" ht="21" customHeight="1">
      <c r="B37" s="417"/>
      <c r="C37" s="417"/>
      <c r="D37" s="417"/>
      <c r="E37" s="417"/>
      <c r="F37" s="417"/>
      <c r="G37" s="291"/>
      <c r="H37" s="291"/>
      <c r="I37" s="291"/>
      <c r="J37" s="429"/>
    </row>
    <row r="38" spans="2:11" ht="21" customHeight="1">
      <c r="B38" s="417"/>
      <c r="C38" s="417"/>
      <c r="D38" s="417"/>
      <c r="E38" s="417"/>
      <c r="F38" s="417"/>
      <c r="G38" s="291"/>
      <c r="H38" s="291"/>
      <c r="I38" s="291"/>
      <c r="J38" s="429"/>
    </row>
    <row r="39" spans="2:11" ht="21" customHeight="1">
      <c r="B39" s="417"/>
      <c r="C39" s="417"/>
      <c r="D39" s="417"/>
      <c r="E39" s="417"/>
      <c r="F39" s="417"/>
      <c r="G39" s="291"/>
      <c r="H39" s="291"/>
      <c r="I39" s="291"/>
      <c r="J39" s="429"/>
    </row>
    <row r="40" spans="2:11" ht="21" customHeight="1">
      <c r="B40" s="417"/>
      <c r="C40" s="417"/>
      <c r="D40" s="417"/>
      <c r="E40" s="417"/>
      <c r="F40" s="417"/>
      <c r="G40" s="291"/>
      <c r="H40" s="291"/>
      <c r="I40" s="291"/>
      <c r="J40" s="429"/>
    </row>
    <row r="41" spans="2:11" ht="21" customHeight="1">
      <c r="B41" s="491"/>
      <c r="C41" s="417"/>
      <c r="D41" s="417"/>
      <c r="E41" s="417"/>
      <c r="F41" s="417"/>
      <c r="G41" s="291"/>
      <c r="H41" s="291"/>
      <c r="I41" s="291"/>
      <c r="J41" s="429"/>
      <c r="K41" s="223"/>
    </row>
    <row r="42" spans="2:11" ht="21" customHeight="1">
      <c r="B42" s="417"/>
      <c r="C42" s="417"/>
      <c r="D42" s="417"/>
      <c r="E42" s="417"/>
      <c r="F42" s="417"/>
      <c r="G42" s="291"/>
      <c r="H42" s="291"/>
      <c r="I42" s="291"/>
      <c r="J42" s="429"/>
    </row>
    <row r="43" spans="2:11" ht="21" customHeight="1">
      <c r="B43" s="417"/>
      <c r="C43" s="417"/>
      <c r="D43" s="417"/>
      <c r="E43" s="417"/>
      <c r="F43" s="417"/>
      <c r="G43" s="291"/>
      <c r="H43" s="291"/>
      <c r="I43" s="291"/>
      <c r="J43" s="429"/>
      <c r="K43" s="223"/>
    </row>
    <row r="44" spans="2:11" ht="21" customHeight="1">
      <c r="B44" s="417"/>
      <c r="C44" s="417"/>
      <c r="D44" s="417"/>
      <c r="E44" s="417"/>
      <c r="F44" s="417"/>
      <c r="G44" s="291"/>
      <c r="H44" s="291"/>
      <c r="I44" s="291"/>
      <c r="J44" s="429"/>
    </row>
    <row r="45" spans="2:11" ht="21" customHeight="1">
      <c r="B45" s="417"/>
      <c r="C45" s="417"/>
      <c r="D45" s="417"/>
      <c r="E45" s="417"/>
      <c r="F45" s="417"/>
      <c r="G45" s="291"/>
      <c r="H45" s="291"/>
      <c r="I45" s="291"/>
      <c r="J45" s="429"/>
    </row>
    <row r="46" spans="2:11" ht="21" customHeight="1">
      <c r="B46" s="417"/>
      <c r="C46" s="417"/>
      <c r="D46" s="417"/>
      <c r="E46" s="417"/>
      <c r="F46" s="417"/>
      <c r="G46" s="291"/>
      <c r="H46" s="291"/>
      <c r="I46" s="291"/>
      <c r="J46" s="429"/>
    </row>
    <row r="47" spans="2:11" ht="21" customHeight="1" thickBot="1">
      <c r="B47" s="417"/>
      <c r="C47" s="417"/>
      <c r="D47" s="417"/>
      <c r="E47" s="417"/>
      <c r="F47" s="417"/>
      <c r="G47" s="464"/>
      <c r="H47" s="464"/>
      <c r="I47" s="464"/>
      <c r="J47" s="492"/>
    </row>
    <row r="48" spans="2:11" ht="21" customHeight="1" thickTop="1" thickBot="1">
      <c r="B48" s="10"/>
      <c r="C48" s="10"/>
      <c r="D48" s="10"/>
      <c r="E48" s="945" t="s">
        <v>201</v>
      </c>
      <c r="F48" s="10"/>
      <c r="G48" s="770">
        <f>SUM(G28:G47)</f>
        <v>454885</v>
      </c>
      <c r="H48" s="724">
        <f>SUM(H28:H47)</f>
        <v>237500</v>
      </c>
      <c r="I48" s="724">
        <f>SUM(I28:I47)</f>
        <v>217385</v>
      </c>
      <c r="J48" s="771">
        <f>SUM(J28:J47)</f>
        <v>0</v>
      </c>
    </row>
    <row r="49" spans="2:10" ht="12" customHeight="1" thickTop="1"/>
    <row r="50" spans="2:10">
      <c r="C50" s="38" t="s">
        <v>242</v>
      </c>
      <c r="D50" t="s">
        <v>243</v>
      </c>
    </row>
    <row r="51" spans="2:10">
      <c r="D51" t="s">
        <v>153</v>
      </c>
    </row>
    <row r="52" spans="2:10" ht="10.5" customHeight="1"/>
    <row r="53" spans="2:10" ht="13.8">
      <c r="B53" s="1130" t="s">
        <v>181</v>
      </c>
      <c r="C53" s="1130"/>
      <c r="D53" s="1130"/>
      <c r="E53" s="1130"/>
      <c r="F53" s="1130"/>
      <c r="G53" s="1130"/>
      <c r="H53" s="1130"/>
      <c r="I53" s="1130"/>
      <c r="J53" s="1130"/>
    </row>
    <row r="54" spans="2:10">
      <c r="J54" s="223"/>
    </row>
  </sheetData>
  <sheetProtection algorithmName="SHA-512" hashValue="H391uS6WEycj4TgX2PaG+v4lxlOAv3fXscRsSkNN5K3TRx6bNgNm9afm9wwf8BGUQqwoNn3hRnwrHmiJTeYLdQ==" saltValue="o6GSA86+c/45/2Oo+gcQeQ==" spinCount="100000" sheet="1" objects="1" scenarios="1"/>
  <mergeCells count="6">
    <mergeCell ref="B3:J3"/>
    <mergeCell ref="B5:J5"/>
    <mergeCell ref="B53:J53"/>
    <mergeCell ref="B21:J21"/>
    <mergeCell ref="B22:J22"/>
    <mergeCell ref="C25:E25"/>
  </mergeCells>
  <phoneticPr fontId="0" type="noConversion"/>
  <pageMargins left="0.25" right="0.25" top="0.5" bottom="0.5" header="0.25" footer="0.25"/>
  <pageSetup paperSize="5"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25CB4-B7CB-420A-84BF-5640B52500FD}">
  <sheetPr codeName="Sheet307"/>
  <dimension ref="B1:K53"/>
  <sheetViews>
    <sheetView topLeftCell="B1" zoomScaleNormal="100" workbookViewId="0">
      <selection activeCell="Q15" sqref="Q15"/>
    </sheetView>
  </sheetViews>
  <sheetFormatPr defaultRowHeight="13.2"/>
  <cols>
    <col min="1" max="1" width="4.6640625" customWidth="1"/>
    <col min="2" max="2" width="6.6640625" customWidth="1"/>
    <col min="3" max="4" width="4.6640625" customWidth="1"/>
    <col min="6" max="6" width="6.6640625" customWidth="1"/>
    <col min="7" max="10" width="16.6640625" customWidth="1"/>
  </cols>
  <sheetData>
    <row r="1" spans="2:11" ht="10.5" customHeight="1"/>
    <row r="2" spans="2:11" ht="7.5" customHeight="1"/>
    <row r="3" spans="2:11" ht="22.8">
      <c r="B3" s="1176" t="s">
        <v>524</v>
      </c>
      <c r="C3" s="1176"/>
      <c r="D3" s="1176"/>
      <c r="E3" s="1176"/>
      <c r="F3" s="1176"/>
      <c r="G3" s="1176"/>
      <c r="H3" s="1176"/>
      <c r="I3" s="1176"/>
      <c r="J3" s="1176"/>
    </row>
    <row r="4" spans="2:11" ht="6.75" customHeight="1"/>
    <row r="5" spans="2:11" ht="17.399999999999999">
      <c r="B5" s="1186" t="str">
        <f>"CAPITAL  IMPROVEMENTS  AUTHORIZED  IN  "&amp;IF('KEY INPUTS'!C42="State Fiscal Year","FISCAL  YEAR  "&amp;'KEY INPUTS'!D33&amp;"",'KEY INPUTS'!D34)&amp;""</f>
        <v>CAPITAL  IMPROVEMENTS  AUTHORIZED  IN  2024</v>
      </c>
      <c r="C5" s="1186"/>
      <c r="D5" s="1186"/>
      <c r="E5" s="1186"/>
      <c r="F5" s="1186"/>
      <c r="G5" s="1186"/>
      <c r="H5" s="1186"/>
      <c r="I5" s="1186"/>
      <c r="J5" s="1186"/>
    </row>
    <row r="6" spans="2:11" ht="17.399999999999999">
      <c r="B6" s="1186" t="s">
        <v>3603</v>
      </c>
      <c r="C6" s="1186"/>
      <c r="D6" s="1186"/>
      <c r="E6" s="1186"/>
      <c r="F6" s="1186"/>
      <c r="G6" s="1186"/>
      <c r="H6" s="1186"/>
      <c r="I6" s="1186"/>
      <c r="J6" s="1186"/>
    </row>
    <row r="7" spans="2:11" ht="11.25" customHeight="1" thickBot="1"/>
    <row r="8" spans="2:11" ht="11.25" customHeight="1" thickTop="1">
      <c r="B8" s="11"/>
      <c r="C8" s="11"/>
      <c r="D8" s="11"/>
      <c r="E8" s="11"/>
      <c r="F8" s="11"/>
      <c r="G8" s="12"/>
      <c r="H8" s="12"/>
      <c r="I8" s="12"/>
      <c r="J8" s="51"/>
    </row>
    <row r="9" spans="2:11">
      <c r="C9" s="1174" t="s">
        <v>413</v>
      </c>
      <c r="D9" s="1174"/>
      <c r="E9" s="1174"/>
      <c r="G9" s="13" t="s">
        <v>414</v>
      </c>
      <c r="H9" s="13" t="s">
        <v>201</v>
      </c>
      <c r="I9" s="13" t="s">
        <v>204</v>
      </c>
      <c r="J9" s="1" t="s">
        <v>3575</v>
      </c>
    </row>
    <row r="10" spans="2:11">
      <c r="G10" s="13" t="s">
        <v>202</v>
      </c>
      <c r="H10" s="13" t="s">
        <v>203</v>
      </c>
      <c r="I10" s="13" t="s">
        <v>205</v>
      </c>
      <c r="J10" s="1" t="s">
        <v>3574</v>
      </c>
    </row>
    <row r="11" spans="2:11" ht="13.8" thickBot="1">
      <c r="B11" s="10"/>
      <c r="C11" s="10"/>
      <c r="D11" s="10"/>
      <c r="E11" s="10"/>
      <c r="F11" s="10"/>
      <c r="G11" s="16"/>
      <c r="H11" s="16" t="s">
        <v>441</v>
      </c>
      <c r="I11" s="16" t="s">
        <v>239</v>
      </c>
      <c r="J11" s="1050"/>
    </row>
    <row r="12" spans="2:11" ht="21" customHeight="1" thickTop="1">
      <c r="B12" s="488"/>
      <c r="C12" s="488"/>
      <c r="D12" s="420"/>
      <c r="E12" s="420"/>
      <c r="F12" s="420"/>
      <c r="G12" s="422"/>
      <c r="H12" s="422"/>
      <c r="I12" s="422"/>
      <c r="J12" s="485"/>
      <c r="K12" s="570"/>
    </row>
    <row r="13" spans="2:11" ht="21" customHeight="1">
      <c r="B13" s="489"/>
      <c r="C13" s="490"/>
      <c r="D13" s="490"/>
      <c r="E13" s="490"/>
      <c r="F13" s="490"/>
      <c r="G13" s="291"/>
      <c r="H13" s="291"/>
      <c r="I13" s="291"/>
      <c r="J13" s="429"/>
      <c r="K13" s="579"/>
    </row>
    <row r="14" spans="2:11" ht="21" customHeight="1">
      <c r="B14" s="417"/>
      <c r="C14" s="417"/>
      <c r="D14" s="417"/>
      <c r="E14" s="417"/>
      <c r="F14" s="417"/>
      <c r="G14" s="291"/>
      <c r="H14" s="291"/>
      <c r="I14" s="291"/>
      <c r="J14" s="429"/>
    </row>
    <row r="15" spans="2:11" ht="21" customHeight="1">
      <c r="B15" s="417"/>
      <c r="C15" s="417"/>
      <c r="D15" s="417"/>
      <c r="E15" s="417"/>
      <c r="F15" s="417"/>
      <c r="G15" s="291"/>
      <c r="H15" s="291"/>
      <c r="I15" s="291"/>
      <c r="J15" s="429"/>
    </row>
    <row r="16" spans="2:11" ht="21" customHeight="1">
      <c r="B16" s="417"/>
      <c r="C16" s="417"/>
      <c r="D16" s="417"/>
      <c r="E16" s="417"/>
      <c r="F16" s="417"/>
      <c r="G16" s="291"/>
      <c r="H16" s="291"/>
      <c r="I16" s="291"/>
      <c r="J16" s="429"/>
    </row>
    <row r="17" spans="2:10" ht="21" customHeight="1">
      <c r="B17" s="417"/>
      <c r="C17" s="417"/>
      <c r="D17" s="417"/>
      <c r="E17" s="417"/>
      <c r="F17" s="417"/>
      <c r="G17" s="291"/>
      <c r="H17" s="291"/>
      <c r="I17" s="291"/>
      <c r="J17" s="429"/>
    </row>
    <row r="18" spans="2:10" ht="21" customHeight="1">
      <c r="B18" s="417"/>
      <c r="C18" s="417"/>
      <c r="D18" s="417"/>
      <c r="E18" s="417"/>
      <c r="F18" s="417"/>
      <c r="G18" s="291"/>
      <c r="H18" s="291"/>
      <c r="I18" s="291"/>
      <c r="J18" s="429"/>
    </row>
    <row r="19" spans="2:10" ht="21" customHeight="1">
      <c r="B19" s="417"/>
      <c r="C19" s="417"/>
      <c r="D19" s="417"/>
      <c r="E19" s="417"/>
      <c r="F19" s="417"/>
      <c r="G19" s="291"/>
      <c r="H19" s="291"/>
      <c r="I19" s="291"/>
      <c r="J19" s="429"/>
    </row>
    <row r="20" spans="2:10" ht="21" customHeight="1">
      <c r="B20" s="417"/>
      <c r="C20" s="417"/>
      <c r="D20" s="417"/>
      <c r="E20" s="417"/>
      <c r="F20" s="417"/>
      <c r="G20" s="291"/>
      <c r="H20" s="291"/>
      <c r="I20" s="291"/>
      <c r="J20" s="429"/>
    </row>
    <row r="21" spans="2:10" ht="21" customHeight="1">
      <c r="B21" s="417"/>
      <c r="C21" s="417"/>
      <c r="D21" s="417"/>
      <c r="E21" s="417"/>
      <c r="F21" s="417"/>
      <c r="G21" s="291"/>
      <c r="H21" s="291"/>
      <c r="I21" s="291"/>
      <c r="J21" s="429"/>
    </row>
    <row r="22" spans="2:10" ht="21" customHeight="1">
      <c r="B22" s="417"/>
      <c r="C22" s="417"/>
      <c r="D22" s="417"/>
      <c r="E22" s="417"/>
      <c r="F22" s="417"/>
      <c r="G22" s="291"/>
      <c r="H22" s="291"/>
      <c r="I22" s="291"/>
      <c r="J22" s="429"/>
    </row>
    <row r="23" spans="2:10" ht="21" customHeight="1">
      <c r="B23" s="417"/>
      <c r="C23" s="417"/>
      <c r="D23" s="417"/>
      <c r="E23" s="417"/>
      <c r="F23" s="417"/>
      <c r="G23" s="291"/>
      <c r="H23" s="291"/>
      <c r="I23" s="291"/>
      <c r="J23" s="429"/>
    </row>
    <row r="24" spans="2:10" ht="21" customHeight="1">
      <c r="B24" s="417"/>
      <c r="C24" s="417"/>
      <c r="D24" s="417"/>
      <c r="E24" s="417"/>
      <c r="F24" s="417"/>
      <c r="G24" s="291"/>
      <c r="H24" s="291"/>
      <c r="I24" s="291"/>
      <c r="J24" s="429"/>
    </row>
    <row r="25" spans="2:10" ht="21" customHeight="1">
      <c r="B25" s="417"/>
      <c r="C25" s="417"/>
      <c r="D25" s="417"/>
      <c r="E25" s="417"/>
      <c r="F25" s="417"/>
      <c r="G25" s="291"/>
      <c r="H25" s="291"/>
      <c r="I25" s="291"/>
      <c r="J25" s="429"/>
    </row>
    <row r="26" spans="2:10" ht="21" customHeight="1">
      <c r="B26" s="417"/>
      <c r="C26" s="417"/>
      <c r="D26" s="417"/>
      <c r="E26" s="417"/>
      <c r="F26" s="417"/>
      <c r="G26" s="291"/>
      <c r="H26" s="291"/>
      <c r="I26" s="291"/>
      <c r="J26" s="429"/>
    </row>
    <row r="27" spans="2:10" ht="21" customHeight="1">
      <c r="B27" s="417"/>
      <c r="C27" s="417"/>
      <c r="D27" s="417"/>
      <c r="E27" s="417"/>
      <c r="F27" s="417"/>
      <c r="G27" s="291"/>
      <c r="H27" s="291"/>
      <c r="I27" s="291"/>
      <c r="J27" s="429"/>
    </row>
    <row r="28" spans="2:10" ht="21" customHeight="1">
      <c r="B28" s="417"/>
      <c r="C28" s="417"/>
      <c r="D28" s="417"/>
      <c r="E28" s="417"/>
      <c r="F28" s="417"/>
      <c r="G28" s="291"/>
      <c r="H28" s="291"/>
      <c r="I28" s="291"/>
      <c r="J28" s="429"/>
    </row>
    <row r="29" spans="2:10" ht="21" customHeight="1">
      <c r="B29" s="417"/>
      <c r="C29" s="417"/>
      <c r="D29" s="417"/>
      <c r="E29" s="417"/>
      <c r="F29" s="417"/>
      <c r="G29" s="291"/>
      <c r="H29" s="291"/>
      <c r="I29" s="291"/>
      <c r="J29" s="429"/>
    </row>
    <row r="30" spans="2:10" ht="21" customHeight="1">
      <c r="B30" s="417"/>
      <c r="C30" s="417"/>
      <c r="D30" s="417"/>
      <c r="E30" s="417"/>
      <c r="F30" s="417"/>
      <c r="G30" s="291"/>
      <c r="H30" s="291"/>
      <c r="I30" s="291"/>
      <c r="J30" s="429"/>
    </row>
    <row r="31" spans="2:10" ht="21" customHeight="1">
      <c r="B31" s="417"/>
      <c r="C31" s="417"/>
      <c r="D31" s="417"/>
      <c r="E31" s="417"/>
      <c r="F31" s="417"/>
      <c r="G31" s="291"/>
      <c r="H31" s="291"/>
      <c r="I31" s="291"/>
      <c r="J31" s="429"/>
    </row>
    <row r="32" spans="2:10" ht="21" customHeight="1">
      <c r="B32" s="417"/>
      <c r="C32" s="417"/>
      <c r="D32" s="417"/>
      <c r="E32" s="417"/>
      <c r="F32" s="417"/>
      <c r="G32" s="291"/>
      <c r="H32" s="291"/>
      <c r="I32" s="291"/>
      <c r="J32" s="429"/>
    </row>
    <row r="33" spans="2:11" ht="21" customHeight="1">
      <c r="B33" s="417"/>
      <c r="C33" s="417"/>
      <c r="D33" s="417"/>
      <c r="E33" s="417"/>
      <c r="F33" s="417"/>
      <c r="G33" s="291"/>
      <c r="H33" s="291"/>
      <c r="I33" s="291"/>
      <c r="J33" s="429"/>
    </row>
    <row r="34" spans="2:11" ht="21" customHeight="1">
      <c r="B34" s="417"/>
      <c r="C34" s="417"/>
      <c r="D34" s="417"/>
      <c r="E34" s="417"/>
      <c r="F34" s="417"/>
      <c r="G34" s="291"/>
      <c r="H34" s="291"/>
      <c r="I34" s="291"/>
      <c r="J34" s="429"/>
    </row>
    <row r="35" spans="2:11" ht="21" customHeight="1">
      <c r="B35" s="417"/>
      <c r="C35" s="417"/>
      <c r="D35" s="417"/>
      <c r="E35" s="417"/>
      <c r="F35" s="417"/>
      <c r="G35" s="291"/>
      <c r="H35" s="291"/>
      <c r="I35" s="291"/>
      <c r="J35" s="429"/>
    </row>
    <row r="36" spans="2:11" ht="21" customHeight="1">
      <c r="B36" s="417"/>
      <c r="C36" s="417"/>
      <c r="D36" s="417"/>
      <c r="E36" s="417"/>
      <c r="F36" s="417"/>
      <c r="G36" s="291"/>
      <c r="H36" s="291"/>
      <c r="I36" s="291"/>
      <c r="J36" s="429"/>
    </row>
    <row r="37" spans="2:11" ht="21" customHeight="1">
      <c r="B37" s="417"/>
      <c r="C37" s="417"/>
      <c r="D37" s="417"/>
      <c r="E37" s="417"/>
      <c r="F37" s="417"/>
      <c r="G37" s="291"/>
      <c r="H37" s="291"/>
      <c r="I37" s="291"/>
      <c r="J37" s="429"/>
    </row>
    <row r="38" spans="2:11" ht="21" customHeight="1">
      <c r="B38" s="417"/>
      <c r="C38" s="417"/>
      <c r="D38" s="417"/>
      <c r="E38" s="417"/>
      <c r="F38" s="417"/>
      <c r="G38" s="291"/>
      <c r="H38" s="291"/>
      <c r="I38" s="291"/>
      <c r="J38" s="429"/>
    </row>
    <row r="39" spans="2:11" ht="21" customHeight="1">
      <c r="B39" s="417"/>
      <c r="C39" s="417"/>
      <c r="D39" s="417"/>
      <c r="E39" s="417"/>
      <c r="F39" s="417"/>
      <c r="G39" s="291"/>
      <c r="H39" s="291"/>
      <c r="I39" s="291"/>
      <c r="J39" s="429"/>
    </row>
    <row r="40" spans="2:11" ht="21" customHeight="1">
      <c r="B40" s="491"/>
      <c r="C40" s="417"/>
      <c r="D40" s="417"/>
      <c r="E40" s="417"/>
      <c r="F40" s="417"/>
      <c r="G40" s="291"/>
      <c r="H40" s="291"/>
      <c r="I40" s="291"/>
      <c r="J40" s="429"/>
      <c r="K40" s="223"/>
    </row>
    <row r="41" spans="2:11" ht="21" customHeight="1">
      <c r="B41" s="417"/>
      <c r="C41" s="417"/>
      <c r="D41" s="417"/>
      <c r="E41" s="417"/>
      <c r="F41" s="417"/>
      <c r="G41" s="291"/>
      <c r="H41" s="291"/>
      <c r="I41" s="291"/>
      <c r="J41" s="429"/>
    </row>
    <row r="42" spans="2:11" ht="21" customHeight="1">
      <c r="B42" s="417"/>
      <c r="C42" s="417"/>
      <c r="D42" s="417"/>
      <c r="E42" s="417"/>
      <c r="F42" s="417"/>
      <c r="G42" s="291"/>
      <c r="H42" s="291"/>
      <c r="I42" s="291"/>
      <c r="J42" s="429"/>
      <c r="K42" s="223"/>
    </row>
    <row r="43" spans="2:11" ht="21" customHeight="1">
      <c r="B43" s="417"/>
      <c r="C43" s="417"/>
      <c r="D43" s="417"/>
      <c r="E43" s="417"/>
      <c r="F43" s="417"/>
      <c r="G43" s="291"/>
      <c r="H43" s="291"/>
      <c r="I43" s="291"/>
      <c r="J43" s="429"/>
    </row>
    <row r="44" spans="2:11" ht="21" customHeight="1">
      <c r="B44" s="417"/>
      <c r="C44" s="417"/>
      <c r="D44" s="417"/>
      <c r="E44" s="417"/>
      <c r="F44" s="417"/>
      <c r="G44" s="291"/>
      <c r="H44" s="291"/>
      <c r="I44" s="291"/>
      <c r="J44" s="429"/>
    </row>
    <row r="45" spans="2:11" ht="21" customHeight="1">
      <c r="B45" s="417"/>
      <c r="C45" s="417"/>
      <c r="D45" s="417"/>
      <c r="E45" s="417"/>
      <c r="F45" s="417"/>
      <c r="G45" s="291"/>
      <c r="H45" s="291"/>
      <c r="I45" s="291"/>
      <c r="J45" s="429"/>
    </row>
    <row r="46" spans="2:11" ht="21" customHeight="1" thickBot="1">
      <c r="B46" s="417"/>
      <c r="C46" s="417"/>
      <c r="D46" s="417"/>
      <c r="E46" s="417"/>
      <c r="F46" s="417"/>
      <c r="G46" s="464"/>
      <c r="H46" s="464"/>
      <c r="I46" s="464"/>
      <c r="J46" s="492"/>
    </row>
    <row r="47" spans="2:11" ht="21" customHeight="1" thickTop="1" thickBot="1">
      <c r="B47" s="10"/>
      <c r="C47" s="10"/>
      <c r="D47" s="10"/>
      <c r="E47" s="945" t="s">
        <v>3602</v>
      </c>
      <c r="F47" s="10"/>
      <c r="G47" s="770">
        <f>SUM(G12:G46)+'37- Cap Fund Down Pymts'!G48</f>
        <v>454885</v>
      </c>
      <c r="H47" s="724">
        <f>SUM(H12:H46)+'37- Cap Fund Down Pymts'!H48</f>
        <v>237500</v>
      </c>
      <c r="I47" s="724">
        <f>SUM(I12:I46)+'37- Cap Fund Down Pymts'!I48</f>
        <v>217385</v>
      </c>
      <c r="J47" s="771">
        <f>SUM(J12:J46)+'37- Cap Fund Down Pymts'!J48</f>
        <v>0</v>
      </c>
    </row>
    <row r="48" spans="2:11" ht="9.75" customHeight="1" thickTop="1"/>
    <row r="49" spans="2:10">
      <c r="C49" s="38" t="s">
        <v>242</v>
      </c>
      <c r="D49" t="s">
        <v>243</v>
      </c>
    </row>
    <row r="50" spans="2:10">
      <c r="D50" t="s">
        <v>153</v>
      </c>
    </row>
    <row r="51" spans="2:10" ht="10.5" customHeight="1"/>
    <row r="52" spans="2:10" ht="13.8">
      <c r="B52" s="1130" t="s">
        <v>3642</v>
      </c>
      <c r="C52" s="1130"/>
      <c r="D52" s="1130"/>
      <c r="E52" s="1130"/>
      <c r="F52" s="1130"/>
      <c r="G52" s="1130"/>
      <c r="H52" s="1130"/>
      <c r="I52" s="1130"/>
      <c r="J52" s="1130"/>
    </row>
    <row r="53" spans="2:10">
      <c r="J53" s="223"/>
    </row>
  </sheetData>
  <sheetProtection algorithmName="SHA-512" hashValue="JOHQ6m4UlgkDqHgqNFemW9UxjMrlzMtem5J/aufzc/11fg4UW9SnxP/NDX27lR2VF1ghJ9xXteDrC/UlthKjUQ==" saltValue="dxp5Dblgt2Fq+o4XTuBzYw==" spinCount="100000" sheet="1" objects="1" scenarios="1"/>
  <mergeCells count="5">
    <mergeCell ref="B3:J3"/>
    <mergeCell ref="B5:J5"/>
    <mergeCell ref="B6:J6"/>
    <mergeCell ref="C9:E9"/>
    <mergeCell ref="B52:J52"/>
  </mergeCells>
  <pageMargins left="0.25" right="0.25" top="0.5" bottom="0.5" header="0.25" footer="0.25"/>
  <pageSetup paperSize="5"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52"/>
  <dimension ref="B3:N62"/>
  <sheetViews>
    <sheetView zoomScaleNormal="100" workbookViewId="0">
      <selection activeCell="J10" sqref="J10"/>
    </sheetView>
  </sheetViews>
  <sheetFormatPr defaultRowHeight="13.2"/>
  <cols>
    <col min="1" max="1" width="4.6640625" customWidth="1"/>
    <col min="2" max="2" width="3.44140625" customWidth="1"/>
    <col min="3" max="4" width="4.6640625" customWidth="1"/>
    <col min="6" max="6" width="9" customWidth="1"/>
    <col min="7" max="10" width="16.6640625" customWidth="1"/>
    <col min="11" max="11" width="4.6640625" bestFit="1" customWidth="1"/>
    <col min="13" max="13" width="10.109375" style="61" bestFit="1" customWidth="1"/>
  </cols>
  <sheetData>
    <row r="3" spans="2:14" ht="22.8">
      <c r="B3" s="1176" t="s">
        <v>524</v>
      </c>
      <c r="C3" s="1176"/>
      <c r="D3" s="1176"/>
      <c r="E3" s="1176"/>
      <c r="F3" s="1176"/>
      <c r="G3" s="1176"/>
      <c r="H3" s="1176"/>
      <c r="I3" s="1176"/>
      <c r="J3" s="1176"/>
    </row>
    <row r="5" spans="2:14" ht="15.6">
      <c r="B5" s="1132" t="s">
        <v>154</v>
      </c>
      <c r="C5" s="1132"/>
      <c r="D5" s="1132"/>
      <c r="E5" s="1132"/>
      <c r="F5" s="1132"/>
      <c r="G5" s="1132"/>
      <c r="H5" s="1132"/>
      <c r="I5" s="1132"/>
      <c r="J5" s="1132"/>
    </row>
    <row r="6" spans="2:14" ht="15.6">
      <c r="B6" s="1343" t="str">
        <f>IF('KEY INPUTS'!C42="State Fiscal Year","FISCAL YEAR  -  "&amp;'KEY INPUTS'!D33&amp;"","YEAR  -  "&amp;'KEY INPUTS'!D34&amp;"")&amp;""</f>
        <v>YEAR  -  2024</v>
      </c>
      <c r="C6" s="1132"/>
      <c r="D6" s="1132"/>
      <c r="E6" s="1132"/>
      <c r="F6" s="1132"/>
      <c r="G6" s="1132"/>
      <c r="H6" s="1132"/>
      <c r="I6" s="1132"/>
      <c r="J6" s="1132"/>
    </row>
    <row r="7" spans="2:14" ht="13.8" thickBot="1"/>
    <row r="8" spans="2:14" ht="28.5" customHeight="1" thickTop="1" thickBot="1">
      <c r="B8" s="58"/>
      <c r="C8" s="58"/>
      <c r="D8" s="58"/>
      <c r="E8" s="58"/>
      <c r="F8" s="58"/>
      <c r="G8" s="58"/>
      <c r="H8" s="58"/>
      <c r="I8" s="4" t="s">
        <v>96</v>
      </c>
      <c r="J8" s="3" t="s">
        <v>97</v>
      </c>
      <c r="N8" s="294"/>
    </row>
    <row r="9" spans="2:14" ht="21" customHeight="1" thickTop="1">
      <c r="B9" s="22" t="str">
        <f>'37- Cap Fund Down Pymts'!B8</f>
        <v>Balance - January 1, 2024</v>
      </c>
      <c r="C9" s="22"/>
      <c r="D9" s="22"/>
      <c r="E9" s="22"/>
      <c r="F9" s="22"/>
      <c r="G9" s="22"/>
      <c r="H9" s="47"/>
      <c r="I9" s="137" t="s">
        <v>627</v>
      </c>
      <c r="J9" s="487">
        <v>76192.179999999993</v>
      </c>
      <c r="K9" s="204"/>
      <c r="L9" s="204"/>
    </row>
    <row r="10" spans="2:14" ht="21" customHeight="1">
      <c r="B10" s="5" t="s">
        <v>155</v>
      </c>
      <c r="C10" s="5"/>
      <c r="D10" s="5"/>
      <c r="E10" s="5"/>
      <c r="F10" s="5"/>
      <c r="G10" s="5"/>
      <c r="H10" s="46"/>
      <c r="I10" s="138" t="s">
        <v>627</v>
      </c>
      <c r="J10" s="479"/>
    </row>
    <row r="11" spans="2:14" ht="21" customHeight="1">
      <c r="B11" s="5" t="s">
        <v>156</v>
      </c>
      <c r="C11" s="5"/>
      <c r="D11" s="5"/>
      <c r="E11" s="5"/>
      <c r="F11" s="5"/>
      <c r="G11" s="5"/>
      <c r="H11" s="46"/>
      <c r="I11" s="138" t="s">
        <v>627</v>
      </c>
      <c r="J11" s="479"/>
    </row>
    <row r="12" spans="2:14" ht="21" customHeight="1">
      <c r="B12" s="292"/>
      <c r="C12" s="764"/>
      <c r="D12" s="292"/>
      <c r="E12" s="292"/>
      <c r="F12" s="292"/>
      <c r="G12" s="292"/>
      <c r="H12" s="292"/>
      <c r="I12" s="527"/>
      <c r="J12" s="293"/>
    </row>
    <row r="13" spans="2:14" ht="21" customHeight="1">
      <c r="B13" s="292"/>
      <c r="C13" s="764"/>
      <c r="D13" s="292"/>
      <c r="E13" s="292"/>
      <c r="F13" s="292"/>
      <c r="G13" s="292"/>
      <c r="H13" s="292"/>
      <c r="I13" s="527"/>
      <c r="J13" s="293"/>
    </row>
    <row r="14" spans="2:14" ht="21" customHeight="1">
      <c r="B14" s="417"/>
      <c r="C14" s="417"/>
      <c r="D14" s="417"/>
      <c r="E14" s="417"/>
      <c r="F14" s="417"/>
      <c r="G14" s="417"/>
      <c r="H14" s="417"/>
      <c r="I14" s="450"/>
      <c r="J14" s="943"/>
    </row>
    <row r="15" spans="2:14" ht="21" customHeight="1">
      <c r="B15" s="5" t="s">
        <v>179</v>
      </c>
      <c r="C15" s="5"/>
      <c r="D15" s="5"/>
      <c r="E15" s="5"/>
      <c r="F15" s="5"/>
      <c r="G15" s="5"/>
      <c r="H15" s="46"/>
      <c r="I15" s="450"/>
      <c r="J15" s="121" t="s">
        <v>627</v>
      </c>
    </row>
    <row r="16" spans="2:14" ht="21" customHeight="1">
      <c r="B16" s="5" t="str">
        <f>"Appropriated to "&amp;IF('KEY INPUTS'!C42="State Fiscal Year","Fiscal Year "&amp;'KEY INPUTS'!D33&amp;"",'KEY INPUTS'!D34)&amp;" Budget Revenue"</f>
        <v>Appropriated to 2024 Budget Revenue</v>
      </c>
      <c r="C16" s="5"/>
      <c r="D16" s="5"/>
      <c r="E16" s="5"/>
      <c r="F16" s="5"/>
      <c r="G16" s="5"/>
      <c r="H16" s="46"/>
      <c r="I16" s="450"/>
      <c r="J16" s="121" t="s">
        <v>627</v>
      </c>
    </row>
    <row r="17" spans="2:12" ht="21" customHeight="1" thickBot="1">
      <c r="B17" s="5" t="str">
        <f>'37- Cap Fund Down Pymts'!B15</f>
        <v>Balance - December 31, 2024</v>
      </c>
      <c r="C17" s="5"/>
      <c r="D17" s="5"/>
      <c r="E17" s="5"/>
      <c r="F17" s="5"/>
      <c r="G17" s="5"/>
      <c r="H17" s="46"/>
      <c r="I17" s="143">
        <f>SUM(J9:J14)-SUM(I12:I16)</f>
        <v>76192.179999999993</v>
      </c>
      <c r="J17" s="148" t="s">
        <v>627</v>
      </c>
      <c r="K17" s="204"/>
      <c r="L17" s="204"/>
    </row>
    <row r="18" spans="2:12" ht="21" customHeight="1" thickTop="1" thickBot="1">
      <c r="I18" s="118">
        <f>SUM(I9:I17)</f>
        <v>76192.179999999993</v>
      </c>
      <c r="J18" s="150">
        <f>SUM(J9:J17)</f>
        <v>76192.179999999993</v>
      </c>
    </row>
    <row r="19" spans="2:12" ht="13.8" thickTop="1"/>
    <row r="26" spans="2:12" ht="15.6">
      <c r="B26" s="685"/>
      <c r="C26" s="685"/>
      <c r="D26" s="685"/>
      <c r="E26" s="685"/>
      <c r="F26" s="685"/>
      <c r="G26" s="685"/>
      <c r="H26" s="685"/>
      <c r="I26" s="685"/>
      <c r="J26" s="685"/>
    </row>
    <row r="29" spans="2:12">
      <c r="B29" s="81"/>
    </row>
    <row r="30" spans="2:12">
      <c r="B30" s="81"/>
    </row>
    <row r="31" spans="2:12">
      <c r="B31" s="81"/>
    </row>
    <row r="32" spans="2:12">
      <c r="B32" s="81"/>
      <c r="I32" s="38"/>
      <c r="J32" s="686"/>
    </row>
    <row r="33" spans="2:10">
      <c r="B33" s="81"/>
    </row>
    <row r="34" spans="2:10">
      <c r="B34" s="81"/>
      <c r="I34" s="38"/>
      <c r="J34" s="686"/>
    </row>
    <row r="35" spans="2:10">
      <c r="B35" s="81"/>
    </row>
    <row r="36" spans="2:10">
      <c r="B36" s="81"/>
    </row>
    <row r="37" spans="2:10">
      <c r="B37" s="81"/>
      <c r="H37" s="38"/>
      <c r="I37" s="686"/>
    </row>
    <row r="38" spans="2:10">
      <c r="B38" s="81"/>
    </row>
    <row r="39" spans="2:10">
      <c r="B39" s="81"/>
    </row>
    <row r="40" spans="2:10">
      <c r="B40" s="81"/>
      <c r="H40" s="38"/>
      <c r="I40" s="686"/>
    </row>
    <row r="41" spans="2:10">
      <c r="B41" s="81"/>
    </row>
    <row r="42" spans="2:10">
      <c r="B42" s="81"/>
      <c r="H42" s="38"/>
      <c r="I42" s="686"/>
    </row>
    <row r="43" spans="2:10">
      <c r="B43" s="81"/>
    </row>
    <row r="44" spans="2:10">
      <c r="B44" s="81"/>
      <c r="H44" s="38"/>
      <c r="I44" s="686"/>
    </row>
    <row r="45" spans="2:10">
      <c r="B45" s="81"/>
    </row>
    <row r="46" spans="2:10">
      <c r="B46" s="81"/>
      <c r="I46" s="38"/>
      <c r="J46" s="686"/>
    </row>
    <row r="47" spans="2:10">
      <c r="B47" s="81"/>
    </row>
    <row r="48" spans="2:10">
      <c r="B48" s="81"/>
    </row>
    <row r="49" spans="2:10">
      <c r="B49" s="81"/>
    </row>
    <row r="50" spans="2:10">
      <c r="B50" s="93"/>
    </row>
    <row r="51" spans="2:10">
      <c r="B51" s="93"/>
    </row>
    <row r="52" spans="2:10">
      <c r="B52" s="151"/>
    </row>
    <row r="53" spans="2:10">
      <c r="B53" s="93"/>
    </row>
    <row r="54" spans="2:10">
      <c r="B54" s="151"/>
    </row>
    <row r="55" spans="2:10">
      <c r="B55" s="180"/>
    </row>
    <row r="56" spans="2:10">
      <c r="B56" s="81"/>
    </row>
    <row r="57" spans="2:10">
      <c r="B57" s="81"/>
    </row>
    <row r="58" spans="2:10">
      <c r="B58" s="81"/>
    </row>
    <row r="59" spans="2:10">
      <c r="B59" s="81"/>
    </row>
    <row r="60" spans="2:10">
      <c r="B60" s="81"/>
    </row>
    <row r="61" spans="2:10">
      <c r="B61" s="81"/>
    </row>
    <row r="62" spans="2:10" ht="13.8">
      <c r="B62" s="1130" t="s">
        <v>157</v>
      </c>
      <c r="C62" s="1130"/>
      <c r="D62" s="1130"/>
      <c r="E62" s="1130"/>
      <c r="F62" s="1130"/>
      <c r="G62" s="1130"/>
      <c r="H62" s="1130"/>
      <c r="I62" s="1130"/>
      <c r="J62" s="1130"/>
    </row>
  </sheetData>
  <sheetProtection algorithmName="SHA-512" hashValue="lBbjoxjqUImcUOVsOMr1+Gxwz1YV1/axu3MDTeXpR365Ki+NHBx3OGrcc7mIfmmiqtVLy5jsQrK0DM64vcoB+g==" saltValue="EXav/0jBZOziNk6Gs+ysJg==" spinCount="100000" sheet="1" objects="1" scenarios="1"/>
  <mergeCells count="4">
    <mergeCell ref="B3:J3"/>
    <mergeCell ref="B5:J5"/>
    <mergeCell ref="B62:J62"/>
    <mergeCell ref="B6:J6"/>
  </mergeCells>
  <phoneticPr fontId="0" type="noConversion"/>
  <pageMargins left="0.25" right="0.25" top="0.5" bottom="0.5" header="0.25" footer="0.25"/>
  <pageSetup paperSize="5"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53"/>
  <dimension ref="B2:R62"/>
  <sheetViews>
    <sheetView topLeftCell="A36" zoomScaleNormal="100" workbookViewId="0">
      <selection activeCell="N28" sqref="N28"/>
    </sheetView>
  </sheetViews>
  <sheetFormatPr defaultRowHeight="13.2"/>
  <cols>
    <col min="1" max="4" width="4.6640625" customWidth="1"/>
    <col min="7" max="7" width="10.109375" customWidth="1"/>
    <col min="8" max="8" width="8.33203125" customWidth="1"/>
    <col min="9" max="9" width="4.33203125" customWidth="1"/>
    <col min="10" max="10" width="4.6640625" customWidth="1"/>
    <col min="11" max="11" width="1.6640625" customWidth="1"/>
    <col min="12" max="12" width="7.6640625" customWidth="1"/>
    <col min="13" max="13" width="1.6640625" customWidth="1"/>
    <col min="14" max="14" width="8.6640625" customWidth="1"/>
    <col min="15" max="15" width="1.5546875" customWidth="1"/>
    <col min="16" max="16" width="7.6640625" customWidth="1"/>
    <col min="17" max="17" width="8.6640625" customWidth="1"/>
  </cols>
  <sheetData>
    <row r="2" spans="2:17" ht="17.399999999999999">
      <c r="B2" s="1186" t="s">
        <v>481</v>
      </c>
      <c r="C2" s="1186"/>
      <c r="D2" s="1186"/>
      <c r="E2" s="1186"/>
      <c r="F2" s="1186"/>
      <c r="G2" s="1186"/>
      <c r="H2" s="1186"/>
      <c r="I2" s="1186"/>
      <c r="J2" s="1186"/>
      <c r="K2" s="1186"/>
      <c r="L2" s="1186"/>
      <c r="M2" s="1186"/>
      <c r="N2" s="1186"/>
      <c r="O2" s="1186"/>
      <c r="P2" s="1186"/>
      <c r="Q2" s="1186"/>
    </row>
    <row r="4" spans="2:17" ht="22.8">
      <c r="B4" s="1176" t="s">
        <v>610</v>
      </c>
      <c r="C4" s="1176"/>
      <c r="D4" s="1176"/>
      <c r="E4" s="1176"/>
      <c r="F4" s="1176"/>
      <c r="G4" s="1176"/>
      <c r="H4" s="1176"/>
      <c r="I4" s="1176"/>
      <c r="J4" s="1176"/>
      <c r="K4" s="1176"/>
      <c r="L4" s="1176"/>
      <c r="M4" s="1176"/>
      <c r="N4" s="1176"/>
      <c r="O4" s="1176"/>
      <c r="P4" s="1176"/>
      <c r="Q4" s="1176"/>
    </row>
    <row r="6" spans="2:17">
      <c r="B6" s="1344" t="s">
        <v>142</v>
      </c>
      <c r="C6" s="1344"/>
      <c r="D6" s="1344"/>
      <c r="E6" s="1344"/>
      <c r="F6" s="1344"/>
      <c r="G6" s="1344"/>
      <c r="H6" s="1344"/>
      <c r="I6" s="1344"/>
      <c r="J6" s="1344"/>
      <c r="K6" s="1344"/>
      <c r="L6" s="1344"/>
      <c r="M6" s="1344"/>
      <c r="N6" s="1344"/>
      <c r="O6" s="1344"/>
      <c r="P6" s="1344"/>
      <c r="Q6" s="1344"/>
    </row>
    <row r="8" spans="2:17">
      <c r="B8" s="1345" t="s">
        <v>273</v>
      </c>
      <c r="C8" s="1345"/>
      <c r="D8" s="1345"/>
      <c r="E8" s="1345"/>
      <c r="F8" s="1345"/>
      <c r="G8" s="1345"/>
      <c r="H8" s="1345"/>
      <c r="I8" s="1345"/>
      <c r="J8" s="1345"/>
      <c r="K8" s="1345"/>
      <c r="L8" s="1345"/>
      <c r="M8" s="1345"/>
      <c r="N8" s="1345"/>
      <c r="O8" s="1345"/>
      <c r="P8" s="1345"/>
      <c r="Q8" s="1345"/>
    </row>
    <row r="9" spans="2:17" ht="13.8" thickBot="1">
      <c r="B9" s="10"/>
      <c r="C9" s="10"/>
      <c r="D9" s="10"/>
      <c r="E9" s="10"/>
      <c r="F9" s="10"/>
      <c r="G9" s="10"/>
      <c r="H9" s="10"/>
      <c r="I9" s="10"/>
      <c r="J9" s="10"/>
      <c r="K9" s="10"/>
      <c r="L9" s="10"/>
      <c r="M9" s="10"/>
      <c r="N9" s="10"/>
      <c r="O9" s="10"/>
      <c r="P9" s="10"/>
      <c r="Q9" s="10"/>
    </row>
    <row r="10" spans="2:17" ht="13.8" thickTop="1"/>
    <row r="11" spans="2:17" ht="13.8">
      <c r="B11" s="89" t="s">
        <v>59</v>
      </c>
    </row>
    <row r="12" spans="2:17" ht="21.9" customHeight="1">
      <c r="C12" s="81" t="s">
        <v>292</v>
      </c>
      <c r="D12" t="str">
        <f>"Total Tax Levy for "&amp;IF('KEY INPUTS'!C42="State Fiscal Year","Fiscal Year "&amp;'KEY INPUTS'!D33&amp;"","Year "&amp;'KEY INPUTS'!D34&amp;"")&amp;" was"</f>
        <v>Total Tax Levy for Year 2024 was</v>
      </c>
      <c r="M12" t="s">
        <v>373</v>
      </c>
      <c r="N12" s="1346">
        <f>+'22-CY Levy'!J17</f>
        <v>4476452.76</v>
      </c>
      <c r="O12" s="1346"/>
      <c r="P12" s="1346"/>
    </row>
    <row r="13" spans="2:17" ht="21.9" customHeight="1">
      <c r="C13" s="81" t="s">
        <v>293</v>
      </c>
      <c r="D13" t="str">
        <f>"Amount of Item 1 Collected in "&amp;IF('KEY INPUTS'!C42="State Fiscal Year","Fiscal Year "&amp;'KEY INPUTS'!D33&amp;"",'KEY INPUTS'!D34)&amp;" (*)"</f>
        <v>Amount of Item 1 Collected in 2024 (*)</v>
      </c>
      <c r="K13" t="s">
        <v>373</v>
      </c>
      <c r="L13" s="1346">
        <f>+'22-CY Levy'!L32</f>
        <v>4371059.32</v>
      </c>
      <c r="M13" s="1346"/>
      <c r="N13" s="1346"/>
    </row>
    <row r="14" spans="2:17" ht="21.9" customHeight="1">
      <c r="C14" s="81" t="s">
        <v>294</v>
      </c>
      <c r="D14" t="s">
        <v>274</v>
      </c>
      <c r="M14" t="s">
        <v>373</v>
      </c>
      <c r="N14" s="1346">
        <f>+N12*0.7</f>
        <v>3133516.9319999996</v>
      </c>
      <c r="O14" s="1346"/>
      <c r="P14" s="1346"/>
    </row>
    <row r="15" spans="2:17" ht="21.9" customHeight="1">
      <c r="C15" t="s">
        <v>275</v>
      </c>
    </row>
    <row r="17" spans="2:17" ht="13.8" thickBot="1">
      <c r="B17" s="10"/>
      <c r="C17" s="10"/>
      <c r="D17" s="10"/>
      <c r="E17" s="10"/>
      <c r="F17" s="10"/>
      <c r="G17" s="10"/>
      <c r="H17" s="10"/>
      <c r="I17" s="10"/>
      <c r="J17" s="10"/>
      <c r="K17" s="10"/>
      <c r="L17" s="10"/>
      <c r="M17" s="10"/>
      <c r="N17" s="10"/>
      <c r="O17" s="10"/>
      <c r="P17" s="10"/>
      <c r="Q17" s="10"/>
    </row>
    <row r="18" spans="2:17" ht="13.8" thickTop="1"/>
    <row r="19" spans="2:17" ht="13.8">
      <c r="B19" s="89" t="s">
        <v>61</v>
      </c>
    </row>
    <row r="20" spans="2:17">
      <c r="C20" s="81" t="s">
        <v>292</v>
      </c>
      <c r="D20" t="str">
        <f>"Did any maturities of bonded obligations or notes fall due during the year "&amp;IF('KEY INPUTS'!C42="State Fiscal Year","Fiscal Year "&amp;'KEY INPUTS'!D33&amp;"",'KEY INPUTS'!D34)&amp;"?"</f>
        <v>Did any maturities of bonded obligations or notes fall due during the year 2024?</v>
      </c>
    </row>
    <row r="22" spans="2:17">
      <c r="D22" s="1174" t="s">
        <v>276</v>
      </c>
      <c r="E22" s="1174"/>
      <c r="F22" s="1174"/>
      <c r="G22" s="493" t="s">
        <v>3703</v>
      </c>
      <c r="H22" s="152"/>
    </row>
    <row r="24" spans="2:17">
      <c r="C24" s="81" t="s">
        <v>293</v>
      </c>
      <c r="D24" t="s">
        <v>600</v>
      </c>
    </row>
    <row r="25" spans="2:17">
      <c r="E25" t="str">
        <f>IF('KEY INPUTS'!C42="State Fiscal Year","June 30, "&amp;'KEY INPUTS'!D33&amp;"","December 31, "&amp;'KEY INPUTS'!D34&amp;"")&amp;"?"</f>
        <v>December 31, 2024?</v>
      </c>
    </row>
    <row r="27" spans="2:17">
      <c r="D27" s="1174" t="s">
        <v>276</v>
      </c>
      <c r="E27" s="1174"/>
      <c r="F27" s="1174"/>
      <c r="G27" s="493" t="s">
        <v>3703</v>
      </c>
      <c r="H27" t="s">
        <v>601</v>
      </c>
    </row>
    <row r="30" spans="2:17">
      <c r="D30" s="112" t="s">
        <v>611</v>
      </c>
    </row>
    <row r="31" spans="2:17" ht="13.8" thickBot="1">
      <c r="B31" s="10"/>
      <c r="C31" s="10"/>
      <c r="D31" s="10"/>
      <c r="E31" s="10"/>
      <c r="F31" s="10"/>
      <c r="G31" s="10"/>
      <c r="H31" s="10"/>
      <c r="I31" s="10"/>
      <c r="J31" s="10"/>
      <c r="K31" s="10"/>
      <c r="L31" s="10"/>
      <c r="M31" s="10"/>
      <c r="N31" s="10"/>
      <c r="O31" s="10"/>
      <c r="P31" s="10"/>
      <c r="Q31" s="10"/>
    </row>
    <row r="32" spans="2:17" ht="13.8" thickTop="1"/>
    <row r="33" spans="2:17" ht="13.8">
      <c r="B33" s="89" t="s">
        <v>844</v>
      </c>
      <c r="C33" t="str">
        <f>"Does the appropriation required to be included in the "&amp;IF('KEY INPUTS'!C42="State Fiscal Year","Fiscal Year "&amp;'KEY INPUTS'!D33+1&amp;"","Calendar Year "&amp;'KEY INPUTS'!D33&amp;"")&amp;" budget for the liquidation of all bonded"</f>
        <v>Does the appropriation required to be included in the Calendar Year 2025 budget for the liquidation of all bonded</v>
      </c>
    </row>
    <row r="34" spans="2:17">
      <c r="B34" t="s">
        <v>612</v>
      </c>
    </row>
    <row r="35" spans="2:17">
      <c r="B35" t="s">
        <v>602</v>
      </c>
      <c r="E35" s="1174"/>
      <c r="F35" s="1174"/>
      <c r="G35" s="1174"/>
      <c r="H35" s="1158"/>
      <c r="I35" s="1158"/>
    </row>
    <row r="36" spans="2:17">
      <c r="E36" s="1174" t="s">
        <v>276</v>
      </c>
      <c r="F36" s="1174"/>
      <c r="G36" s="1174"/>
      <c r="H36" s="493" t="s">
        <v>3704</v>
      </c>
    </row>
    <row r="37" spans="2:17" ht="13.8" thickBot="1">
      <c r="B37" s="10"/>
      <c r="C37" s="10"/>
      <c r="D37" s="10"/>
      <c r="E37" s="10"/>
      <c r="F37" s="10"/>
      <c r="G37" s="10"/>
      <c r="H37" s="10"/>
      <c r="I37" s="10"/>
      <c r="J37" s="10"/>
      <c r="K37" s="10"/>
      <c r="L37" s="10"/>
      <c r="M37" s="10"/>
      <c r="N37" s="10"/>
      <c r="O37" s="10"/>
      <c r="P37" s="10"/>
      <c r="Q37" s="10"/>
    </row>
    <row r="38" spans="2:17" ht="13.8" thickTop="1"/>
    <row r="39" spans="2:17" ht="13.8">
      <c r="B39" s="89" t="s">
        <v>845</v>
      </c>
    </row>
    <row r="40" spans="2:17">
      <c r="C40" s="81" t="s">
        <v>292</v>
      </c>
      <c r="D40" t="str">
        <f>"Cash Deficit "&amp;IF('KEY INPUTS'!C42 = "State Fiscal Year", "Fiscal Year "&amp;'KEY INPUTS'!D34&amp;"", 'KEY INPUTS'!D35)</f>
        <v>Cash Deficit 2023</v>
      </c>
      <c r="O40" t="s">
        <v>373</v>
      </c>
      <c r="P40" s="1178"/>
      <c r="Q40" s="1178"/>
    </row>
    <row r="42" spans="2:17">
      <c r="C42" s="81" t="s">
        <v>293</v>
      </c>
      <c r="D42" t="str">
        <f>"4% of "&amp;IF('KEY INPUTS'!C42 = "State Fiscal Year", "FY "&amp;'KEY INPUTS'!D34&amp;"", 'KEY INPUTS'!D35)&amp;" Tax Levy for all purposes:"</f>
        <v>4% of 2023 Tax Levy for all purposes:</v>
      </c>
    </row>
    <row r="43" spans="2:17">
      <c r="H43" t="s">
        <v>605</v>
      </c>
      <c r="I43" s="38" t="s">
        <v>604</v>
      </c>
      <c r="J43" s="1178"/>
      <c r="K43" s="1178"/>
      <c r="L43" s="1178"/>
      <c r="M43" s="1178"/>
      <c r="N43" s="1" t="s">
        <v>603</v>
      </c>
      <c r="O43" t="s">
        <v>373</v>
      </c>
      <c r="P43" s="1178"/>
      <c r="Q43" s="1178"/>
    </row>
    <row r="45" spans="2:17">
      <c r="C45" s="81" t="s">
        <v>294</v>
      </c>
      <c r="D45" t="str">
        <f>"Cash Deficit "&amp;IF('KEY INPUTS'!C42 = "State Fiscal Year", "Fiscal Year "&amp;'KEY INPUTS'!D33&amp;"", 'KEY INPUTS'!D34)</f>
        <v>Cash Deficit 2024</v>
      </c>
      <c r="O45" t="s">
        <v>373</v>
      </c>
      <c r="P45" s="1178"/>
      <c r="Q45" s="1178"/>
    </row>
    <row r="47" spans="2:17">
      <c r="C47" s="81" t="s">
        <v>295</v>
      </c>
      <c r="D47" t="str">
        <f>"4% of "&amp;IF('KEY INPUTS'!C42 = "State Fiscal Year", "FY "&amp;'KEY INPUTS'!D33&amp;"", 'KEY INPUTS'!D34)&amp;" Tax Levy for all purposes:"</f>
        <v>4% of 2024 Tax Levy for all purposes:</v>
      </c>
    </row>
    <row r="48" spans="2:17">
      <c r="H48" t="s">
        <v>605</v>
      </c>
      <c r="I48" s="38" t="s">
        <v>604</v>
      </c>
      <c r="J48" s="1178"/>
      <c r="K48" s="1178"/>
      <c r="L48" s="1178"/>
      <c r="M48" s="1178"/>
      <c r="N48" s="1" t="s">
        <v>603</v>
      </c>
      <c r="O48" t="s">
        <v>373</v>
      </c>
      <c r="P48" s="1178"/>
      <c r="Q48" s="1178"/>
    </row>
    <row r="50" spans="2:18" ht="13.8" thickBot="1">
      <c r="B50" s="10"/>
      <c r="C50" s="10"/>
      <c r="D50" s="10"/>
      <c r="E50" s="10"/>
      <c r="F50" s="10"/>
      <c r="G50" s="10"/>
      <c r="H50" s="10"/>
      <c r="I50" s="10"/>
      <c r="J50" s="10"/>
      <c r="K50" s="10"/>
      <c r="L50" s="10"/>
      <c r="M50" s="10"/>
      <c r="N50" s="10"/>
      <c r="O50" s="10"/>
      <c r="P50" s="10"/>
      <c r="Q50" s="10"/>
    </row>
    <row r="51" spans="2:18" ht="13.8" thickTop="1"/>
    <row r="52" spans="2:18" ht="13.8">
      <c r="B52" s="89" t="s">
        <v>846</v>
      </c>
      <c r="D52" s="1190" t="s">
        <v>609</v>
      </c>
      <c r="E52" s="1190"/>
      <c r="F52" s="1190"/>
      <c r="H52" s="1190">
        <f>IF('KEY INPUTS'!C42 = "State Fiscal Year", "Fiscal Year "&amp;'KEY INPUTS'!D34&amp;"", 'KEY INPUTS'!D35)</f>
        <v>2023</v>
      </c>
      <c r="I52" s="1190"/>
      <c r="J52" s="1190"/>
      <c r="L52" s="1190">
        <f>IF('KEY INPUTS'!C42 = "State Fiscal Year", "Fiscal Year "&amp;'KEY INPUTS'!D33&amp;"", 'KEY INPUTS'!D34)</f>
        <v>2024</v>
      </c>
      <c r="M52" s="1190"/>
      <c r="N52" s="1190"/>
      <c r="O52" s="1190" t="s">
        <v>201</v>
      </c>
      <c r="P52" s="1190"/>
      <c r="Q52" s="1190"/>
    </row>
    <row r="54" spans="2:18" ht="21" customHeight="1">
      <c r="C54" s="81" t="s">
        <v>292</v>
      </c>
      <c r="D54" t="s">
        <v>606</v>
      </c>
      <c r="G54" s="38" t="s">
        <v>604</v>
      </c>
      <c r="H54" s="1178"/>
      <c r="I54" s="1178"/>
      <c r="J54" s="1178"/>
      <c r="K54" t="s">
        <v>373</v>
      </c>
      <c r="L54" s="1178"/>
      <c r="M54" s="1178"/>
      <c r="N54" s="1178"/>
      <c r="O54" t="s">
        <v>373</v>
      </c>
      <c r="P54" s="1346">
        <f>+L54+H54</f>
        <v>0</v>
      </c>
      <c r="Q54" s="1346"/>
    </row>
    <row r="55" spans="2:18" ht="21" customHeight="1">
      <c r="C55" s="81" t="s">
        <v>293</v>
      </c>
      <c r="D55" t="s">
        <v>695</v>
      </c>
      <c r="G55" s="38" t="s">
        <v>604</v>
      </c>
      <c r="H55" s="1178"/>
      <c r="I55" s="1178"/>
      <c r="J55" s="1178"/>
      <c r="K55" t="s">
        <v>373</v>
      </c>
      <c r="L55" s="1347">
        <f>+'15-Other Taxes'!I19+'15-Other Taxes'!I18</f>
        <v>210.52000000001863</v>
      </c>
      <c r="M55" s="1347"/>
      <c r="N55" s="1347"/>
      <c r="O55" t="s">
        <v>373</v>
      </c>
      <c r="P55" s="1346">
        <f>+L55+H55</f>
        <v>210.52000000001863</v>
      </c>
      <c r="Q55" s="1346"/>
      <c r="R55" s="572"/>
    </row>
    <row r="56" spans="2:18" ht="21" customHeight="1">
      <c r="C56" s="81" t="s">
        <v>294</v>
      </c>
      <c r="D56" t="s">
        <v>607</v>
      </c>
    </row>
    <row r="57" spans="2:18" ht="21" customHeight="1">
      <c r="C57" s="81"/>
      <c r="G57" s="38" t="s">
        <v>604</v>
      </c>
      <c r="H57" s="1178"/>
      <c r="I57" s="1178"/>
      <c r="J57" s="1178"/>
      <c r="K57" t="s">
        <v>373</v>
      </c>
      <c r="L57" s="1348">
        <f>'15-Other Taxes'!I38</f>
        <v>0</v>
      </c>
      <c r="M57" s="1348"/>
      <c r="N57" s="1348"/>
      <c r="O57" t="s">
        <v>373</v>
      </c>
      <c r="P57" s="1346">
        <f>+L57+H57</f>
        <v>0</v>
      </c>
      <c r="Q57" s="1346"/>
      <c r="R57" s="572"/>
    </row>
    <row r="58" spans="2:18" ht="21" customHeight="1">
      <c r="C58" s="81" t="s">
        <v>295</v>
      </c>
      <c r="D58" s="239" t="s">
        <v>3393</v>
      </c>
    </row>
    <row r="59" spans="2:18" ht="21" customHeight="1">
      <c r="C59" s="81"/>
      <c r="G59" s="38" t="s">
        <v>604</v>
      </c>
      <c r="H59" s="1178"/>
      <c r="I59" s="1178"/>
      <c r="J59" s="1178"/>
      <c r="K59" t="s">
        <v>373</v>
      </c>
      <c r="L59" s="1346">
        <f>+'13-Other Taxes'!G16+'14-Other Taxes'!G38+'14-Other Taxes'!G17</f>
        <v>1019489.7900000003</v>
      </c>
      <c r="M59" s="1346"/>
      <c r="N59" s="1346"/>
      <c r="O59" t="s">
        <v>373</v>
      </c>
      <c r="P59" s="1346">
        <f>+L59+H59</f>
        <v>1019489.7900000003</v>
      </c>
      <c r="Q59" s="1346"/>
      <c r="R59" s="572"/>
    </row>
    <row r="62" spans="2:18" ht="13.8">
      <c r="B62" s="1130" t="s">
        <v>608</v>
      </c>
      <c r="C62" s="1130"/>
      <c r="D62" s="1130"/>
      <c r="E62" s="1130"/>
      <c r="F62" s="1130"/>
      <c r="G62" s="1130"/>
      <c r="H62" s="1130"/>
      <c r="I62" s="1130"/>
      <c r="J62" s="1130"/>
      <c r="K62" s="1130"/>
      <c r="L62" s="1130"/>
      <c r="M62" s="1130"/>
      <c r="N62" s="1130"/>
      <c r="O62" s="1130"/>
      <c r="P62" s="1130"/>
      <c r="Q62" s="1130"/>
    </row>
  </sheetData>
  <sheetProtection algorithmName="SHA-512" hashValue="SomJ3t1ysjLAHGzbqMWKGOH9Z3RyxxsTFu96IVEW0m7UHVOOukgcKUBeDPu5IJd/IrM2pjsJPRsfbbQJuUjKjA==" saltValue="AD+t8H7UevgI35fIUxCb9Q==" spinCount="100000" sheet="1" objects="1" scenarios="1"/>
  <mergeCells count="35">
    <mergeCell ref="B62:Q62"/>
    <mergeCell ref="P43:Q43"/>
    <mergeCell ref="H52:J52"/>
    <mergeCell ref="H59:J59"/>
    <mergeCell ref="P59:Q59"/>
    <mergeCell ref="L54:N54"/>
    <mergeCell ref="L55:N55"/>
    <mergeCell ref="P57:Q57"/>
    <mergeCell ref="P54:Q54"/>
    <mergeCell ref="L57:N57"/>
    <mergeCell ref="D22:F22"/>
    <mergeCell ref="D27:F27"/>
    <mergeCell ref="H35:I35"/>
    <mergeCell ref="D52:F52"/>
    <mergeCell ref="O52:Q52"/>
    <mergeCell ref="L52:N52"/>
    <mergeCell ref="P40:Q40"/>
    <mergeCell ref="E36:G36"/>
    <mergeCell ref="E35:G35"/>
    <mergeCell ref="B2:Q2"/>
    <mergeCell ref="B4:Q4"/>
    <mergeCell ref="B6:Q6"/>
    <mergeCell ref="B8:Q8"/>
    <mergeCell ref="L59:N59"/>
    <mergeCell ref="P55:Q55"/>
    <mergeCell ref="P48:Q48"/>
    <mergeCell ref="J43:M43"/>
    <mergeCell ref="J48:M48"/>
    <mergeCell ref="P45:Q45"/>
    <mergeCell ref="H54:J54"/>
    <mergeCell ref="H55:J55"/>
    <mergeCell ref="H57:J57"/>
    <mergeCell ref="N12:P12"/>
    <mergeCell ref="N14:P14"/>
    <mergeCell ref="L13:N13"/>
  </mergeCells>
  <phoneticPr fontId="0" type="noConversion"/>
  <pageMargins left="0.25" right="0.25" top="0.5" bottom="0.5" header="0.25" footer="0.25"/>
  <pageSetup paperSize="5"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54">
    <tabColor theme="6" tint="0.39997558519241921"/>
  </sheetPr>
  <dimension ref="B14:P68"/>
  <sheetViews>
    <sheetView zoomScaleNormal="100" workbookViewId="0">
      <selection activeCell="C43" sqref="C43"/>
    </sheetView>
  </sheetViews>
  <sheetFormatPr defaultRowHeight="13.2"/>
  <cols>
    <col min="1" max="1" width="4.6640625" customWidth="1"/>
    <col min="3" max="3" width="5.88671875" customWidth="1"/>
  </cols>
  <sheetData>
    <row r="14" spans="16:16">
      <c r="P14" s="294"/>
    </row>
    <row r="22" spans="2:11" ht="31.8">
      <c r="B22" s="1349" t="s">
        <v>31</v>
      </c>
      <c r="C22" s="1349"/>
      <c r="D22" s="1349"/>
      <c r="E22" s="1349"/>
      <c r="F22" s="1349"/>
      <c r="G22" s="1349"/>
      <c r="H22" s="1349"/>
      <c r="I22" s="1349"/>
      <c r="J22" s="1349"/>
      <c r="K22" s="1349"/>
    </row>
    <row r="40" spans="3:4">
      <c r="C40" s="160" t="s">
        <v>720</v>
      </c>
    </row>
    <row r="41" spans="3:4">
      <c r="D41" t="s">
        <v>32</v>
      </c>
    </row>
    <row r="42" spans="3:4">
      <c r="C42" t="str">
        <f>"owned and operated by the municipality during the year "&amp;IF('KEY INPUTS'!C42="State Fiscal Year","Fiscal Year "&amp;'KEY INPUTS'!D33&amp;"","Year "&amp;'KEY INPUTS'!D34&amp;"")&amp;", please observe"</f>
        <v>owned and operated by the municipality during the year Year 2024, please observe</v>
      </c>
    </row>
    <row r="43" spans="3:4">
      <c r="C43" t="s">
        <v>33</v>
      </c>
    </row>
    <row r="68" spans="2:11" ht="13.8">
      <c r="B68" s="1130" t="s">
        <v>34</v>
      </c>
      <c r="C68" s="1130"/>
      <c r="D68" s="1130"/>
      <c r="E68" s="1130"/>
      <c r="F68" s="1130"/>
      <c r="G68" s="1130"/>
      <c r="H68" s="1130"/>
      <c r="I68" s="1130"/>
      <c r="J68" s="1130"/>
      <c r="K68" s="1130"/>
    </row>
  </sheetData>
  <sheetProtection algorithmName="SHA-512" hashValue="LXj1q08U9IGrgHsX7FllguXhy3SrIscoEw5skmA2JSl6jh7MXb92/5QmwgDQYp+DQcrM9ZctL4An7t16GNoq9g==" saltValue="QVtDhEitIinINBV8laYUqA==" spinCount="100000" sheet="1" objects="1" scenarios="1"/>
  <mergeCells count="2">
    <mergeCell ref="B22:K22"/>
    <mergeCell ref="B68:K68"/>
  </mergeCells>
  <phoneticPr fontId="0" type="noConversion"/>
  <pageMargins left="0.25" right="0.25" top="0.5" bottom="0.5" header="0.25" footer="0.25"/>
  <pageSetup paperSize="5"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72400-5D0D-44ED-BD95-359A3B6AC0BE}">
  <sheetPr codeName="Sheet155">
    <tabColor theme="6" tint="0.39997558519241921"/>
    <pageSetUpPr fitToPage="1"/>
  </sheetPr>
  <dimension ref="B2:R57"/>
  <sheetViews>
    <sheetView topLeftCell="A11" zoomScaleNormal="100" zoomScaleSheetLayoutView="80" workbookViewId="0">
      <selection activeCell="G22" sqref="G22:G23"/>
    </sheetView>
  </sheetViews>
  <sheetFormatPr defaultColWidth="8.88671875" defaultRowHeight="13.2"/>
  <cols>
    <col min="1" max="1" width="4.6640625" style="267" customWidth="1"/>
    <col min="2" max="2" width="4.88671875" style="267" customWidth="1"/>
    <col min="3" max="4" width="4.6640625" style="267" customWidth="1"/>
    <col min="5" max="5" width="30.6640625" style="267" customWidth="1"/>
    <col min="6" max="6" width="15.6640625" style="267" customWidth="1"/>
    <col min="7" max="8" width="16.6640625" style="267" customWidth="1"/>
    <col min="9" max="9" width="3.6640625" style="267" bestFit="1" customWidth="1"/>
    <col min="10" max="10" width="13.5546875" style="267" bestFit="1" customWidth="1"/>
    <col min="11" max="16384" width="8.88671875" style="267"/>
  </cols>
  <sheetData>
    <row r="2" spans="2:18">
      <c r="B2" s="1357" t="s">
        <v>35</v>
      </c>
      <c r="C2" s="1357"/>
      <c r="D2" s="1357"/>
      <c r="E2" s="1357"/>
      <c r="F2" s="1357"/>
      <c r="G2" s="1357"/>
      <c r="H2" s="1357"/>
    </row>
    <row r="3" spans="2:18">
      <c r="B3" s="1357" t="s">
        <v>449</v>
      </c>
      <c r="C3" s="1357"/>
      <c r="D3" s="1357"/>
      <c r="E3" s="1357"/>
      <c r="F3" s="1357"/>
      <c r="G3" s="1357"/>
      <c r="H3" s="1357"/>
    </row>
    <row r="5" spans="2:18" ht="22.8">
      <c r="B5" s="1358" t="s">
        <v>424</v>
      </c>
      <c r="C5" s="1358"/>
      <c r="D5" s="1358"/>
      <c r="E5" s="1358"/>
      <c r="F5" s="1358"/>
      <c r="G5" s="1358"/>
      <c r="H5" s="1358"/>
    </row>
    <row r="6" spans="2:18" ht="22.8">
      <c r="B6" s="1358" t="str">
        <f>"TRIAL  BALANCE - "&amp;UPPER('KEY INPUTS'!D54)&amp;"  UTILITY  FUND"</f>
        <v>TRIAL  BALANCE - WATER  UTILITY  FUND</v>
      </c>
      <c r="C6" s="1358"/>
      <c r="D6" s="1358"/>
      <c r="E6" s="1358"/>
      <c r="F6" s="1358"/>
      <c r="G6" s="1358"/>
      <c r="H6" s="1358"/>
    </row>
    <row r="7" spans="2:18" ht="15.6">
      <c r="B7" s="1359" t="str">
        <f>IF('KEY INPUTS'!C42 = "State Fiscal Year", 'KEY INPUTS'!F45,'KEY INPUTS'!D45)</f>
        <v>AS  AT  DECEMBER  31, 2024</v>
      </c>
      <c r="C7" s="1360"/>
      <c r="D7" s="1360"/>
      <c r="E7" s="1360"/>
      <c r="F7" s="1360"/>
      <c r="G7" s="1360"/>
      <c r="H7" s="1360"/>
    </row>
    <row r="8" spans="2:18" ht="15.6">
      <c r="B8" s="1354" t="s">
        <v>450</v>
      </c>
      <c r="C8" s="1354"/>
      <c r="D8" s="1354"/>
      <c r="E8" s="1354"/>
      <c r="F8" s="1354"/>
      <c r="G8" s="1354"/>
      <c r="H8" s="1354"/>
    </row>
    <row r="9" spans="2:18">
      <c r="B9" s="1355" t="s">
        <v>70</v>
      </c>
      <c r="C9" s="1355"/>
      <c r="D9" s="1355"/>
      <c r="E9" s="1355"/>
      <c r="F9" s="1355"/>
      <c r="G9" s="1355"/>
      <c r="H9" s="1355"/>
    </row>
    <row r="10" spans="2:18" ht="15" customHeight="1" thickBot="1">
      <c r="B10" s="1356" t="s">
        <v>71</v>
      </c>
      <c r="C10" s="1356"/>
      <c r="D10" s="1356"/>
      <c r="E10" s="1356"/>
      <c r="F10" s="1356"/>
      <c r="G10" s="1356"/>
      <c r="H10" s="1356"/>
    </row>
    <row r="11" spans="2:18" ht="36" customHeight="1" thickTop="1" thickBot="1">
      <c r="B11" s="1350" t="s">
        <v>95</v>
      </c>
      <c r="C11" s="1350"/>
      <c r="D11" s="1350"/>
      <c r="E11" s="1350"/>
      <c r="F11" s="1351"/>
      <c r="G11" s="304" t="s">
        <v>96</v>
      </c>
      <c r="H11" s="308" t="s">
        <v>97</v>
      </c>
      <c r="L11"/>
      <c r="M11"/>
      <c r="N11"/>
      <c r="O11"/>
      <c r="P11"/>
      <c r="Q11"/>
      <c r="R11"/>
    </row>
    <row r="12" spans="2:18" ht="21" customHeight="1" thickTop="1">
      <c r="G12" s="775"/>
      <c r="H12" s="776"/>
      <c r="L12"/>
      <c r="M12"/>
      <c r="N12"/>
      <c r="O12"/>
      <c r="P12"/>
      <c r="Q12"/>
      <c r="R12"/>
    </row>
    <row r="13" spans="2:18" ht="21" customHeight="1">
      <c r="B13" s="248" t="s">
        <v>194</v>
      </c>
      <c r="C13" s="248"/>
      <c r="D13" s="248"/>
      <c r="E13" s="248"/>
      <c r="F13" s="248"/>
      <c r="G13" s="450">
        <f>520438.63+50-16202.35</f>
        <v>504286.28</v>
      </c>
      <c r="H13" s="457"/>
      <c r="J13" s="573"/>
      <c r="L13" s="294"/>
      <c r="M13"/>
      <c r="N13"/>
      <c r="O13"/>
      <c r="P13"/>
      <c r="Q13"/>
      <c r="R13"/>
    </row>
    <row r="14" spans="2:18" ht="21" customHeight="1">
      <c r="B14" s="495" t="s">
        <v>315</v>
      </c>
      <c r="C14" s="495"/>
      <c r="D14" s="495"/>
      <c r="E14" s="495"/>
      <c r="F14" s="499"/>
      <c r="G14" s="450"/>
      <c r="H14" s="457"/>
      <c r="J14" s="573"/>
      <c r="L14"/>
      <c r="M14"/>
      <c r="N14"/>
      <c r="O14"/>
      <c r="P14"/>
      <c r="Q14"/>
      <c r="R14"/>
    </row>
    <row r="15" spans="2:18" ht="21" customHeight="1">
      <c r="B15" s="496"/>
      <c r="C15" s="496"/>
      <c r="D15" s="496"/>
      <c r="E15" s="496"/>
      <c r="F15" s="496"/>
      <c r="G15" s="450"/>
      <c r="H15" s="457"/>
      <c r="L15"/>
      <c r="M15"/>
      <c r="N15"/>
      <c r="O15"/>
      <c r="P15"/>
      <c r="Q15"/>
      <c r="R15"/>
    </row>
    <row r="16" spans="2:18" ht="21" customHeight="1">
      <c r="B16" s="495" t="s">
        <v>3675</v>
      </c>
      <c r="C16" s="495"/>
      <c r="D16" s="495"/>
      <c r="E16" s="495"/>
      <c r="F16" s="495"/>
      <c r="G16" s="772">
        <v>17637.7</v>
      </c>
      <c r="H16" s="772"/>
      <c r="L16"/>
      <c r="M16"/>
      <c r="N16"/>
      <c r="O16"/>
      <c r="P16"/>
      <c r="Q16"/>
      <c r="R16"/>
    </row>
    <row r="17" spans="2:18" ht="21" customHeight="1">
      <c r="B17" s="495" t="s">
        <v>3676</v>
      </c>
      <c r="C17" s="495"/>
      <c r="D17" s="495"/>
      <c r="E17" s="495"/>
      <c r="F17" s="495"/>
      <c r="G17" s="772">
        <v>92894.43</v>
      </c>
      <c r="H17" s="772"/>
      <c r="L17"/>
      <c r="M17"/>
      <c r="N17"/>
      <c r="O17"/>
      <c r="P17"/>
      <c r="Q17"/>
      <c r="R17"/>
    </row>
    <row r="18" spans="2:18" ht="21" customHeight="1">
      <c r="B18" s="495"/>
      <c r="C18" s="495"/>
      <c r="D18" s="495"/>
      <c r="E18" s="495"/>
      <c r="F18" s="495"/>
      <c r="G18" s="772"/>
      <c r="H18" s="772"/>
      <c r="L18"/>
      <c r="M18"/>
      <c r="N18"/>
      <c r="O18"/>
      <c r="P18"/>
      <c r="Q18"/>
      <c r="R18"/>
    </row>
    <row r="19" spans="2:18" ht="21" customHeight="1">
      <c r="B19" s="385" t="s">
        <v>3202</v>
      </c>
      <c r="G19" s="777"/>
      <c r="H19" s="376"/>
      <c r="L19"/>
      <c r="M19"/>
      <c r="N19"/>
      <c r="O19"/>
      <c r="P19"/>
      <c r="Q19"/>
      <c r="R19"/>
    </row>
    <row r="20" spans="2:18" ht="21" customHeight="1">
      <c r="B20" s="248" t="s">
        <v>3203</v>
      </c>
      <c r="C20" s="248"/>
      <c r="D20" s="248"/>
      <c r="E20" s="248"/>
      <c r="F20" s="248"/>
      <c r="G20" s="778">
        <f>'47-Utility1'!L24</f>
        <v>55357.260000000009</v>
      </c>
      <c r="H20" s="779"/>
      <c r="L20"/>
      <c r="M20"/>
      <c r="N20"/>
      <c r="O20"/>
      <c r="P20"/>
      <c r="Q20"/>
      <c r="R20"/>
    </row>
    <row r="21" spans="2:18" ht="21" customHeight="1">
      <c r="B21" s="248" t="s">
        <v>3204</v>
      </c>
      <c r="C21" s="248"/>
      <c r="D21" s="248"/>
      <c r="E21" s="248"/>
      <c r="F21" s="248"/>
      <c r="G21" s="533">
        <f>'47-Utility1'!L54</f>
        <v>0</v>
      </c>
      <c r="L21"/>
      <c r="M21"/>
      <c r="N21"/>
      <c r="O21"/>
      <c r="P21"/>
      <c r="Q21"/>
      <c r="R21"/>
    </row>
    <row r="22" spans="2:18" ht="21" customHeight="1">
      <c r="B22" s="495"/>
      <c r="C22" s="495"/>
      <c r="D22" s="495"/>
      <c r="E22" s="495"/>
      <c r="F22" s="495"/>
      <c r="G22" s="450"/>
      <c r="H22" s="457"/>
      <c r="L22"/>
      <c r="M22"/>
      <c r="N22"/>
      <c r="O22"/>
      <c r="P22"/>
      <c r="Q22"/>
      <c r="R22"/>
    </row>
    <row r="23" spans="2:18" ht="21" customHeight="1">
      <c r="B23" s="495"/>
      <c r="C23" s="495"/>
      <c r="D23" s="495"/>
      <c r="E23" s="495"/>
      <c r="F23" s="495"/>
      <c r="G23" s="450"/>
      <c r="H23" s="457"/>
      <c r="J23" s="573"/>
      <c r="L23"/>
      <c r="M23"/>
      <c r="N23"/>
      <c r="O23"/>
      <c r="P23"/>
      <c r="Q23"/>
      <c r="R23"/>
    </row>
    <row r="24" spans="2:18" ht="21" customHeight="1">
      <c r="B24" s="495"/>
      <c r="C24" s="495"/>
      <c r="D24" s="495"/>
      <c r="E24" s="495"/>
      <c r="F24" s="495"/>
      <c r="G24" s="450"/>
      <c r="H24" s="457"/>
      <c r="J24" s="573"/>
      <c r="L24"/>
      <c r="M24"/>
      <c r="N24"/>
      <c r="O24"/>
      <c r="P24"/>
      <c r="Q24"/>
      <c r="R24"/>
    </row>
    <row r="25" spans="2:18" ht="21" customHeight="1">
      <c r="B25" s="495"/>
      <c r="C25" s="495"/>
      <c r="D25" s="495"/>
      <c r="E25" s="495"/>
      <c r="F25" s="495"/>
      <c r="G25" s="450"/>
      <c r="H25" s="457"/>
      <c r="L25"/>
      <c r="M25"/>
      <c r="N25"/>
      <c r="O25"/>
      <c r="P25"/>
      <c r="Q25"/>
      <c r="R25"/>
    </row>
    <row r="26" spans="2:18" ht="21" customHeight="1">
      <c r="B26" s="248" t="s">
        <v>3205</v>
      </c>
      <c r="C26" s="248"/>
      <c r="D26" s="248"/>
      <c r="E26" s="248"/>
      <c r="F26" s="248"/>
      <c r="G26" s="533"/>
      <c r="H26" s="780"/>
      <c r="L26"/>
      <c r="M26"/>
      <c r="N26"/>
      <c r="O26"/>
      <c r="P26"/>
      <c r="Q26"/>
      <c r="R26"/>
    </row>
    <row r="27" spans="2:18" ht="21" customHeight="1">
      <c r="B27" s="495"/>
      <c r="C27" s="495"/>
      <c r="D27" s="495"/>
      <c r="E27" s="495"/>
      <c r="F27" s="495"/>
      <c r="G27" s="450"/>
      <c r="H27" s="457"/>
      <c r="L27"/>
      <c r="M27"/>
      <c r="N27"/>
      <c r="O27"/>
      <c r="P27"/>
      <c r="Q27"/>
      <c r="R27"/>
    </row>
    <row r="28" spans="2:18" ht="21" customHeight="1">
      <c r="B28" s="495"/>
      <c r="C28" s="495"/>
      <c r="D28" s="495"/>
      <c r="E28" s="495"/>
      <c r="F28" s="495"/>
      <c r="G28" s="450"/>
      <c r="H28" s="457"/>
    </row>
    <row r="29" spans="2:18" ht="21" customHeight="1">
      <c r="B29" s="495"/>
      <c r="C29" s="495"/>
      <c r="D29" s="495"/>
      <c r="E29" s="495"/>
      <c r="F29" s="495"/>
      <c r="G29" s="450"/>
      <c r="H29" s="457"/>
    </row>
    <row r="30" spans="2:18" ht="21" customHeight="1">
      <c r="B30" s="307" t="s">
        <v>3206</v>
      </c>
      <c r="C30" s="248"/>
      <c r="D30" s="248"/>
      <c r="E30" s="248"/>
      <c r="F30" s="248"/>
      <c r="G30" s="533"/>
      <c r="H30" s="780"/>
    </row>
    <row r="31" spans="2:18" ht="21" customHeight="1">
      <c r="B31" s="248" t="s">
        <v>3135</v>
      </c>
      <c r="C31" s="248"/>
      <c r="D31" s="248"/>
      <c r="E31" s="248"/>
      <c r="F31" s="248"/>
      <c r="G31" s="450"/>
      <c r="H31" s="780">
        <f>+'44-Utility1'!I37</f>
        <v>58996.55</v>
      </c>
      <c r="J31" s="573"/>
    </row>
    <row r="32" spans="2:18" ht="21" customHeight="1">
      <c r="B32" s="248" t="s">
        <v>3134</v>
      </c>
      <c r="C32" s="248"/>
      <c r="D32" s="248"/>
      <c r="E32" s="248"/>
      <c r="F32" s="248"/>
      <c r="G32" s="450"/>
      <c r="H32" s="457">
        <v>49966.2</v>
      </c>
    </row>
    <row r="33" spans="2:10" ht="21" customHeight="1">
      <c r="B33" s="248" t="s">
        <v>3133</v>
      </c>
      <c r="C33" s="248"/>
      <c r="D33" s="248"/>
      <c r="E33" s="248"/>
      <c r="F33" s="248"/>
      <c r="G33" s="450"/>
      <c r="H33" s="781">
        <f>+'49-Utility1'!I29+'49a-Utility1'!I29+'50.1-Utility1'!M24+'49a.1-Utility1'!I29</f>
        <v>10868.36</v>
      </c>
      <c r="J33" s="573"/>
    </row>
    <row r="34" spans="2:10" ht="21" customHeight="1">
      <c r="B34" s="495" t="s">
        <v>3678</v>
      </c>
      <c r="C34" s="495"/>
      <c r="D34" s="495"/>
      <c r="E34" s="495"/>
      <c r="F34" s="499"/>
      <c r="G34" s="450"/>
      <c r="H34" s="457">
        <v>2962.94</v>
      </c>
    </row>
    <row r="35" spans="2:10" ht="21" customHeight="1">
      <c r="B35" s="496" t="s">
        <v>3674</v>
      </c>
      <c r="C35" s="496"/>
      <c r="D35" s="496"/>
      <c r="E35" s="496"/>
      <c r="F35" s="496"/>
      <c r="G35" s="773"/>
      <c r="H35" s="772">
        <v>10640.92</v>
      </c>
    </row>
    <row r="36" spans="2:10" ht="21" customHeight="1">
      <c r="B36" s="495" t="s">
        <v>3677</v>
      </c>
      <c r="C36" s="495"/>
      <c r="D36" s="495"/>
      <c r="E36" s="495"/>
      <c r="F36" s="495"/>
      <c r="G36" s="450"/>
      <c r="H36" s="457">
        <v>125140.38</v>
      </c>
    </row>
    <row r="37" spans="2:10" ht="21" customHeight="1">
      <c r="B37" s="495"/>
      <c r="C37" s="496"/>
      <c r="D37" s="495"/>
      <c r="E37" s="495"/>
      <c r="F37" s="517"/>
      <c r="G37" s="774"/>
      <c r="H37" s="479"/>
    </row>
    <row r="38" spans="2:10" ht="21" customHeight="1" thickBot="1">
      <c r="B38" s="495"/>
      <c r="C38" s="495"/>
      <c r="D38" s="495"/>
      <c r="E38" s="495"/>
      <c r="F38" s="495"/>
      <c r="G38" s="479"/>
      <c r="H38" s="481"/>
    </row>
    <row r="39" spans="2:10" ht="21" customHeight="1" thickTop="1">
      <c r="B39" s="248"/>
      <c r="C39" s="248" t="s">
        <v>3132</v>
      </c>
      <c r="D39" s="248"/>
      <c r="E39" s="248"/>
      <c r="F39" s="248"/>
      <c r="G39" s="376"/>
      <c r="H39" s="834">
        <f>SUM(H30:H38)</f>
        <v>258575.35</v>
      </c>
      <c r="I39" s="267" t="s">
        <v>795</v>
      </c>
    </row>
    <row r="40" spans="2:10" ht="21" customHeight="1">
      <c r="B40" s="333" t="s">
        <v>3215</v>
      </c>
      <c r="C40" s="333"/>
      <c r="D40" s="333"/>
      <c r="E40" s="333"/>
      <c r="F40" s="333"/>
      <c r="G40" s="779"/>
      <c r="H40" s="479">
        <v>55357.26</v>
      </c>
    </row>
    <row r="41" spans="2:10" ht="21" customHeight="1">
      <c r="B41" s="495"/>
      <c r="C41" s="495"/>
      <c r="D41" s="495"/>
      <c r="E41" s="495"/>
      <c r="F41" s="495"/>
      <c r="G41" s="450"/>
      <c r="H41" s="457"/>
    </row>
    <row r="42" spans="2:10" ht="21" customHeight="1">
      <c r="B42" s="248" t="s">
        <v>617</v>
      </c>
      <c r="C42" s="248"/>
      <c r="D42" s="248"/>
      <c r="E42" s="248"/>
      <c r="F42" s="248"/>
      <c r="G42" s="533"/>
      <c r="H42" s="780">
        <f>+'46-Utility1'!K27</f>
        <v>356243.06</v>
      </c>
    </row>
    <row r="43" spans="2:10" ht="21" customHeight="1" thickBot="1">
      <c r="B43" s="248"/>
      <c r="C43" s="248"/>
      <c r="D43" s="248"/>
      <c r="E43" s="248"/>
      <c r="F43" s="248"/>
      <c r="G43" s="783"/>
      <c r="H43" s="784"/>
    </row>
    <row r="44" spans="2:10" ht="21" customHeight="1" thickBot="1">
      <c r="B44" s="248" t="s">
        <v>3216</v>
      </c>
      <c r="C44" s="248"/>
      <c r="D44" s="248"/>
      <c r="E44" s="248"/>
      <c r="F44" s="248"/>
      <c r="G44" s="785">
        <f>SUM(G12:G43)</f>
        <v>670175.67000000004</v>
      </c>
      <c r="H44" s="786">
        <f>SUM(H39:H43)</f>
        <v>670175.66999999993</v>
      </c>
      <c r="J44" s="301">
        <f>G44-H44</f>
        <v>0</v>
      </c>
    </row>
    <row r="45" spans="2:10" ht="13.8" thickTop="1">
      <c r="B45" s="1352" t="s">
        <v>98</v>
      </c>
      <c r="C45" s="1352"/>
      <c r="D45" s="1352"/>
      <c r="E45" s="1352"/>
      <c r="F45" s="1352"/>
      <c r="G45" s="1352"/>
      <c r="H45" s="1352"/>
    </row>
    <row r="46" spans="2:10">
      <c r="B46" s="302"/>
      <c r="C46" s="302"/>
      <c r="D46" s="302"/>
      <c r="E46" s="302"/>
      <c r="F46" s="302"/>
      <c r="G46" s="302"/>
      <c r="H46" s="302"/>
    </row>
    <row r="47" spans="2:10">
      <c r="B47" s="302"/>
      <c r="C47" s="302"/>
      <c r="D47" s="302"/>
      <c r="E47" s="302"/>
      <c r="F47" s="302"/>
      <c r="G47" s="302"/>
      <c r="H47" s="302"/>
    </row>
    <row r="48" spans="2:10">
      <c r="B48" s="302"/>
      <c r="C48" s="302"/>
      <c r="D48" s="302"/>
      <c r="E48" s="302"/>
      <c r="F48" s="302"/>
      <c r="G48" s="302"/>
      <c r="H48" s="302"/>
    </row>
    <row r="49" spans="2:8">
      <c r="B49" s="302"/>
      <c r="C49" s="302"/>
      <c r="D49" s="302"/>
      <c r="E49" s="302"/>
      <c r="F49" s="302"/>
      <c r="G49" s="302"/>
      <c r="H49" s="302"/>
    </row>
    <row r="50" spans="2:8" ht="13.8">
      <c r="B50" s="1353" t="s">
        <v>3130</v>
      </c>
      <c r="C50" s="1353"/>
      <c r="D50" s="1353"/>
      <c r="E50" s="1353"/>
      <c r="F50" s="1353"/>
      <c r="G50" s="1353"/>
      <c r="H50" s="1353"/>
    </row>
    <row r="54" spans="2:8">
      <c r="H54" s="301"/>
    </row>
    <row r="57" spans="2:8">
      <c r="H57" s="301">
        <f>+H44-G44</f>
        <v>0</v>
      </c>
    </row>
  </sheetData>
  <sheetProtection algorithmName="SHA-512" hashValue="hL9Ugn6IshwVBmAwxlqhxbEYDq9PhLM85gfp+gODkCblbIL+7/bynnKUo++rZz+eZ3WrrZX3WtvBvyu8beesDg==" saltValue="K9yQ11YEmeo40lYJFf4hYw==" spinCount="100000" sheet="1" objects="1" scenarios="1"/>
  <mergeCells count="11">
    <mergeCell ref="B2:H2"/>
    <mergeCell ref="B5:H5"/>
    <mergeCell ref="B6:H6"/>
    <mergeCell ref="B7:H7"/>
    <mergeCell ref="B3:H3"/>
    <mergeCell ref="B11:F11"/>
    <mergeCell ref="B45:H45"/>
    <mergeCell ref="B50:H50"/>
    <mergeCell ref="B8:H8"/>
    <mergeCell ref="B9:H9"/>
    <mergeCell ref="B10:H10"/>
  </mergeCells>
  <pageMargins left="0.25" right="0.25" top="0.5" bottom="0.5" header="0.25" footer="0.25"/>
  <pageSetup scale="76"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DB989-E6D1-424D-8E45-A27C875EF380}">
  <sheetPr codeName="Sheet156">
    <tabColor theme="6" tint="0.39997558519241921"/>
    <pageSetUpPr fitToPage="1"/>
  </sheetPr>
  <dimension ref="B2:Q55"/>
  <sheetViews>
    <sheetView topLeftCell="A15" zoomScaleNormal="100" zoomScaleSheetLayoutView="80" workbookViewId="0">
      <selection activeCell="G24" sqref="G24"/>
    </sheetView>
  </sheetViews>
  <sheetFormatPr defaultColWidth="8.88671875" defaultRowHeight="13.2"/>
  <cols>
    <col min="1" max="1" width="4.6640625" style="267" customWidth="1"/>
    <col min="2" max="2" width="4.88671875" style="267" customWidth="1"/>
    <col min="3" max="4" width="4.6640625" style="267" customWidth="1"/>
    <col min="5" max="5" width="34.33203125" style="267" customWidth="1"/>
    <col min="6" max="6" width="15.6640625" style="267" customWidth="1"/>
    <col min="7" max="8" width="16.6640625" style="267" customWidth="1"/>
    <col min="9" max="9" width="10.88671875" style="267" bestFit="1" customWidth="1"/>
    <col min="10" max="10" width="8.88671875" style="267"/>
    <col min="11" max="11" width="10.33203125" style="267" bestFit="1" customWidth="1"/>
    <col min="12" max="12" width="8.88671875" style="267"/>
    <col min="13" max="13" width="13.88671875" style="267" bestFit="1" customWidth="1"/>
    <col min="14" max="16384" width="8.88671875" style="267"/>
  </cols>
  <sheetData>
    <row r="2" spans="2:17">
      <c r="B2" s="1357" t="s">
        <v>35</v>
      </c>
      <c r="C2" s="1357"/>
      <c r="D2" s="1357"/>
      <c r="E2" s="1357"/>
      <c r="F2" s="1357"/>
      <c r="G2" s="1357"/>
      <c r="H2" s="1357"/>
    </row>
    <row r="3" spans="2:17">
      <c r="B3" s="1357" t="s">
        <v>449</v>
      </c>
      <c r="C3" s="1357"/>
      <c r="D3" s="1357"/>
      <c r="E3" s="1357"/>
      <c r="F3" s="1357"/>
      <c r="G3" s="1357"/>
      <c r="H3" s="1357"/>
    </row>
    <row r="5" spans="2:17" ht="22.8">
      <c r="B5" s="1358" t="s">
        <v>424</v>
      </c>
      <c r="C5" s="1358"/>
      <c r="D5" s="1358"/>
      <c r="E5" s="1358"/>
      <c r="F5" s="1358"/>
      <c r="G5" s="1358"/>
      <c r="H5" s="1358"/>
    </row>
    <row r="6" spans="2:17" ht="22.8">
      <c r="B6" s="1358" t="str">
        <f>"TRIAL  BALANCE - "&amp;UPPER('KEY INPUTS'!D54)&amp;"  UTILITY  FUND (cont'd)"</f>
        <v>TRIAL  BALANCE - WATER  UTILITY  FUND (cont'd)</v>
      </c>
      <c r="C6" s="1358"/>
      <c r="D6" s="1358"/>
      <c r="E6" s="1358"/>
      <c r="F6" s="1358"/>
      <c r="G6" s="1358"/>
      <c r="H6" s="1358"/>
    </row>
    <row r="7" spans="2:17" ht="15.6">
      <c r="B7" s="1359" t="str">
        <f>IF('KEY INPUTS'!C42 = "State Fiscal Year", 'KEY INPUTS'!F45,'KEY INPUTS'!D45)</f>
        <v>AS  AT  DECEMBER  31, 2024</v>
      </c>
      <c r="C7" s="1360"/>
      <c r="D7" s="1360"/>
      <c r="E7" s="1360"/>
      <c r="F7" s="1360"/>
      <c r="G7" s="1360"/>
      <c r="H7" s="1360"/>
    </row>
    <row r="8" spans="2:17" ht="15.6">
      <c r="B8" s="1354" t="s">
        <v>450</v>
      </c>
      <c r="C8" s="1354"/>
      <c r="D8" s="1354"/>
      <c r="E8" s="1354"/>
      <c r="F8" s="1354"/>
      <c r="G8" s="1354"/>
      <c r="H8" s="1354"/>
    </row>
    <row r="9" spans="2:17">
      <c r="B9" s="1355" t="s">
        <v>70</v>
      </c>
      <c r="C9" s="1355"/>
      <c r="D9" s="1355"/>
      <c r="E9" s="1355"/>
      <c r="F9" s="1355"/>
      <c r="G9" s="1355"/>
      <c r="H9" s="1355"/>
    </row>
    <row r="10" spans="2:17" ht="15" customHeight="1" thickBot="1">
      <c r="B10" s="1356" t="s">
        <v>71</v>
      </c>
      <c r="C10" s="1356"/>
      <c r="D10" s="1356"/>
      <c r="E10" s="1356"/>
      <c r="F10" s="1356"/>
      <c r="G10" s="1356"/>
      <c r="H10" s="1356"/>
    </row>
    <row r="11" spans="2:17" ht="36" customHeight="1" thickTop="1" thickBot="1">
      <c r="B11" s="1350" t="s">
        <v>95</v>
      </c>
      <c r="C11" s="1350"/>
      <c r="D11" s="1350"/>
      <c r="E11" s="1350"/>
      <c r="F11" s="1351"/>
      <c r="G11" s="304" t="s">
        <v>96</v>
      </c>
      <c r="H11" s="308" t="s">
        <v>97</v>
      </c>
    </row>
    <row r="12" spans="2:17" ht="21" customHeight="1" thickTop="1">
      <c r="G12" s="229"/>
      <c r="H12" s="230"/>
    </row>
    <row r="13" spans="2:17" ht="21" customHeight="1">
      <c r="B13" s="307" t="s">
        <v>642</v>
      </c>
      <c r="C13" s="248"/>
      <c r="D13" s="248"/>
      <c r="E13" s="248"/>
      <c r="F13" s="248"/>
      <c r="G13" s="240"/>
      <c r="H13" s="231"/>
      <c r="K13"/>
      <c r="L13"/>
      <c r="M13"/>
      <c r="N13"/>
      <c r="O13"/>
      <c r="P13"/>
      <c r="Q13"/>
    </row>
    <row r="14" spans="2:17" ht="21" customHeight="1">
      <c r="B14" s="248"/>
      <c r="C14" s="248"/>
      <c r="D14" s="248"/>
      <c r="E14" s="248"/>
      <c r="F14" s="248"/>
      <c r="G14" s="240"/>
      <c r="H14" s="231"/>
      <c r="K14"/>
      <c r="L14"/>
      <c r="M14"/>
      <c r="N14"/>
      <c r="O14"/>
      <c r="P14"/>
      <c r="Q14"/>
    </row>
    <row r="15" spans="2:17" ht="21" customHeight="1">
      <c r="B15" s="267" t="s">
        <v>192</v>
      </c>
      <c r="C15" s="248"/>
      <c r="D15" s="248"/>
      <c r="E15" s="248"/>
      <c r="F15" s="248"/>
      <c r="G15" s="289"/>
      <c r="H15" s="232" t="s">
        <v>627</v>
      </c>
      <c r="K15" s="294"/>
      <c r="L15"/>
      <c r="M15"/>
      <c r="N15"/>
      <c r="O15"/>
      <c r="P15"/>
      <c r="Q15"/>
    </row>
    <row r="16" spans="2:17" ht="21" customHeight="1">
      <c r="B16" s="248" t="s">
        <v>193</v>
      </c>
      <c r="C16" s="248"/>
      <c r="D16" s="248"/>
      <c r="E16" s="248"/>
      <c r="F16" s="248"/>
      <c r="G16" s="254" t="s">
        <v>627</v>
      </c>
      <c r="H16" s="255">
        <f>+G15</f>
        <v>0</v>
      </c>
      <c r="K16"/>
      <c r="L16"/>
      <c r="M16"/>
      <c r="N16"/>
      <c r="O16"/>
      <c r="P16"/>
      <c r="Q16"/>
    </row>
    <row r="17" spans="2:17" ht="21" customHeight="1">
      <c r="B17" s="248"/>
      <c r="C17" s="248"/>
      <c r="D17" s="248"/>
      <c r="E17" s="248"/>
      <c r="F17" s="248"/>
      <c r="G17" s="272"/>
      <c r="H17" s="255"/>
      <c r="K17"/>
      <c r="L17"/>
      <c r="M17"/>
      <c r="N17"/>
      <c r="O17"/>
      <c r="P17"/>
      <c r="Q17"/>
    </row>
    <row r="18" spans="2:17" ht="21" customHeight="1">
      <c r="B18" s="248"/>
      <c r="C18" s="248" t="s">
        <v>351</v>
      </c>
      <c r="D18" s="248"/>
      <c r="E18" s="248"/>
      <c r="F18" s="248"/>
      <c r="G18" s="289">
        <f>46971.57+24131.17</f>
        <v>71102.739999999991</v>
      </c>
      <c r="H18" s="419"/>
      <c r="K18"/>
      <c r="L18"/>
      <c r="M18"/>
      <c r="N18"/>
      <c r="O18"/>
      <c r="P18"/>
      <c r="Q18"/>
    </row>
    <row r="19" spans="2:17" ht="21" customHeight="1">
      <c r="B19" s="248"/>
      <c r="C19" s="495"/>
      <c r="D19" s="495"/>
      <c r="E19" s="495"/>
      <c r="F19" s="495"/>
      <c r="G19" s="289"/>
      <c r="H19" s="419"/>
      <c r="K19"/>
      <c r="L19"/>
      <c r="M19"/>
      <c r="N19"/>
      <c r="O19"/>
      <c r="P19"/>
      <c r="Q19"/>
    </row>
    <row r="20" spans="2:17" ht="21" customHeight="1">
      <c r="B20" s="248"/>
      <c r="C20" s="248" t="s">
        <v>888</v>
      </c>
      <c r="D20" s="248"/>
      <c r="E20" s="248"/>
      <c r="F20" s="248"/>
      <c r="G20" s="289"/>
      <c r="H20" s="419"/>
      <c r="K20"/>
      <c r="L20"/>
      <c r="M20"/>
      <c r="N20"/>
      <c r="O20"/>
      <c r="P20"/>
      <c r="Q20"/>
    </row>
    <row r="21" spans="2:17" ht="21" customHeight="1">
      <c r="B21" s="248"/>
      <c r="C21" s="248" t="s">
        <v>643</v>
      </c>
      <c r="D21" s="248"/>
      <c r="E21" s="248"/>
      <c r="F21" s="248"/>
      <c r="G21" s="272"/>
      <c r="H21" s="280"/>
      <c r="K21"/>
      <c r="L21"/>
      <c r="M21"/>
      <c r="N21"/>
      <c r="O21"/>
      <c r="P21"/>
      <c r="Q21"/>
    </row>
    <row r="22" spans="2:17" ht="21" customHeight="1">
      <c r="B22" s="248"/>
      <c r="C22" s="248"/>
      <c r="D22" s="248" t="s">
        <v>87</v>
      </c>
      <c r="E22" s="248"/>
      <c r="F22" s="248"/>
      <c r="G22" s="289">
        <v>3922995.01</v>
      </c>
      <c r="H22" s="419"/>
      <c r="K22"/>
      <c r="L22"/>
      <c r="M22"/>
      <c r="N22"/>
      <c r="O22"/>
      <c r="P22"/>
      <c r="Q22"/>
    </row>
    <row r="23" spans="2:17" ht="21" customHeight="1">
      <c r="B23" s="248"/>
      <c r="C23" s="248"/>
      <c r="D23" s="248" t="s">
        <v>671</v>
      </c>
      <c r="E23" s="248"/>
      <c r="F23" s="248"/>
      <c r="G23" s="289">
        <v>744317.93</v>
      </c>
      <c r="H23" s="419"/>
      <c r="K23"/>
      <c r="L23"/>
      <c r="M23"/>
      <c r="N23"/>
      <c r="O23"/>
      <c r="P23"/>
      <c r="Q23"/>
    </row>
    <row r="24" spans="2:17" ht="21" customHeight="1">
      <c r="B24" s="248"/>
      <c r="C24" s="495" t="s">
        <v>3679</v>
      </c>
      <c r="D24" s="495"/>
      <c r="E24" s="495"/>
      <c r="F24" s="495"/>
      <c r="G24" s="289">
        <v>7249.45</v>
      </c>
      <c r="H24" s="438"/>
      <c r="K24"/>
      <c r="L24"/>
      <c r="M24"/>
      <c r="N24"/>
      <c r="O24"/>
      <c r="P24"/>
      <c r="Q24"/>
    </row>
    <row r="25" spans="2:17" ht="21" customHeight="1">
      <c r="B25" s="248"/>
      <c r="C25" s="495" t="s">
        <v>3680</v>
      </c>
      <c r="D25" s="495"/>
      <c r="E25" s="495"/>
      <c r="F25" s="495"/>
      <c r="G25" s="289">
        <v>113613.4</v>
      </c>
      <c r="H25" s="438" t="s">
        <v>3131</v>
      </c>
    </row>
    <row r="26" spans="2:17" ht="21" customHeight="1">
      <c r="B26" s="248"/>
      <c r="C26" s="496"/>
      <c r="D26" s="495"/>
      <c r="E26" s="495"/>
      <c r="F26" s="495"/>
      <c r="G26" s="289"/>
      <c r="H26" s="498"/>
    </row>
    <row r="27" spans="2:17" ht="21" customHeight="1">
      <c r="B27" s="248"/>
      <c r="C27" s="495"/>
      <c r="D27" s="495"/>
      <c r="E27" s="495"/>
      <c r="F27" s="495"/>
      <c r="G27" s="289"/>
      <c r="H27" s="438" t="s">
        <v>3131</v>
      </c>
    </row>
    <row r="28" spans="2:17" ht="21" customHeight="1">
      <c r="B28" s="248"/>
      <c r="C28" s="495"/>
      <c r="D28" s="495"/>
      <c r="E28" s="495"/>
      <c r="F28" s="495"/>
      <c r="G28" s="289"/>
      <c r="H28" s="438"/>
    </row>
    <row r="29" spans="2:17" ht="21" customHeight="1">
      <c r="B29" s="248"/>
      <c r="C29" s="495"/>
      <c r="D29" s="495"/>
      <c r="E29" s="495"/>
      <c r="F29" s="495"/>
      <c r="G29" s="289"/>
      <c r="H29" s="438"/>
      <c r="K29"/>
      <c r="L29"/>
      <c r="M29"/>
      <c r="N29"/>
      <c r="O29"/>
      <c r="P29"/>
      <c r="Q29"/>
    </row>
    <row r="30" spans="2:17" ht="21" customHeight="1">
      <c r="B30" s="248"/>
      <c r="C30" s="495"/>
      <c r="D30" s="495"/>
      <c r="E30" s="495"/>
      <c r="F30" s="495"/>
      <c r="G30" s="289"/>
      <c r="H30" s="438"/>
      <c r="K30"/>
      <c r="L30"/>
      <c r="M30"/>
      <c r="N30"/>
      <c r="O30"/>
      <c r="P30"/>
      <c r="Q30"/>
    </row>
    <row r="31" spans="2:17" ht="21" customHeight="1">
      <c r="B31" s="248"/>
      <c r="C31" s="495"/>
      <c r="D31" s="495"/>
      <c r="E31" s="495"/>
      <c r="F31" s="495"/>
      <c r="G31" s="289"/>
      <c r="H31" s="438" t="s">
        <v>3131</v>
      </c>
    </row>
    <row r="32" spans="2:17" ht="21" customHeight="1">
      <c r="B32" s="248"/>
      <c r="C32" s="496"/>
      <c r="D32" s="495"/>
      <c r="E32" s="495"/>
      <c r="F32" s="495"/>
      <c r="G32" s="289"/>
      <c r="H32" s="498"/>
    </row>
    <row r="33" spans="2:17" ht="21" customHeight="1">
      <c r="B33" s="248"/>
      <c r="C33" s="495"/>
      <c r="D33" s="495"/>
      <c r="E33" s="495"/>
      <c r="F33" s="495"/>
      <c r="G33" s="289"/>
      <c r="H33" s="438" t="s">
        <v>3131</v>
      </c>
    </row>
    <row r="34" spans="2:17" ht="21" customHeight="1">
      <c r="B34" s="248"/>
      <c r="C34" s="495"/>
      <c r="D34" s="495"/>
      <c r="E34" s="495"/>
      <c r="F34" s="495"/>
      <c r="G34" s="289"/>
      <c r="H34" s="438"/>
    </row>
    <row r="35" spans="2:17" ht="21" customHeight="1">
      <c r="B35" s="248"/>
      <c r="C35" s="495"/>
      <c r="D35" s="495"/>
      <c r="E35" s="495"/>
      <c r="F35" s="495"/>
      <c r="G35" s="289"/>
      <c r="H35" s="438"/>
      <c r="K35"/>
      <c r="L35"/>
      <c r="M35"/>
      <c r="N35"/>
      <c r="O35"/>
      <c r="P35"/>
      <c r="Q35"/>
    </row>
    <row r="36" spans="2:17" ht="21" customHeight="1">
      <c r="B36" s="248"/>
      <c r="C36" s="495"/>
      <c r="D36" s="495"/>
      <c r="E36" s="495"/>
      <c r="F36" s="495"/>
      <c r="G36" s="289"/>
      <c r="H36" s="438" t="s">
        <v>3131</v>
      </c>
    </row>
    <row r="37" spans="2:17" ht="21" customHeight="1">
      <c r="B37" s="248"/>
      <c r="C37" s="496"/>
      <c r="D37" s="495"/>
      <c r="E37" s="495"/>
      <c r="F37" s="495"/>
      <c r="G37" s="289"/>
      <c r="H37" s="498"/>
    </row>
    <row r="38" spans="2:17" ht="21" customHeight="1">
      <c r="B38" s="248"/>
      <c r="C38" s="495"/>
      <c r="D38" s="495"/>
      <c r="E38" s="495"/>
      <c r="F38" s="495"/>
      <c r="G38" s="289"/>
      <c r="H38" s="438" t="s">
        <v>3131</v>
      </c>
    </row>
    <row r="39" spans="2:17" ht="21" customHeight="1">
      <c r="B39" s="248"/>
      <c r="C39" s="495"/>
      <c r="D39" s="495"/>
      <c r="E39" s="495"/>
      <c r="F39" s="495"/>
      <c r="G39" s="289"/>
      <c r="H39" s="438"/>
    </row>
    <row r="40" spans="2:17" ht="21" customHeight="1">
      <c r="B40" s="248"/>
      <c r="C40" s="495"/>
      <c r="D40" s="495"/>
      <c r="E40" s="495"/>
      <c r="F40" s="495"/>
      <c r="G40" s="289"/>
      <c r="H40" s="438"/>
    </row>
    <row r="41" spans="2:17" ht="21" customHeight="1">
      <c r="B41" s="248"/>
      <c r="C41" s="495"/>
      <c r="D41" s="495"/>
      <c r="E41" s="495"/>
      <c r="F41" s="495"/>
      <c r="G41" s="289"/>
      <c r="H41" s="438" t="s">
        <v>3131</v>
      </c>
    </row>
    <row r="42" spans="2:17" ht="21" customHeight="1">
      <c r="B42" s="248"/>
      <c r="C42" s="495"/>
      <c r="D42" s="495"/>
      <c r="E42" s="495"/>
      <c r="F42" s="495"/>
      <c r="G42" s="289"/>
      <c r="H42" s="438" t="s">
        <v>3131</v>
      </c>
    </row>
    <row r="43" spans="2:17" ht="21" customHeight="1" thickBot="1">
      <c r="B43" s="248"/>
      <c r="C43" s="248"/>
      <c r="D43" s="248"/>
      <c r="E43" s="248"/>
      <c r="F43" s="248"/>
      <c r="G43" s="256"/>
      <c r="H43" s="306"/>
      <c r="I43" s="301"/>
      <c r="M43" s="301"/>
    </row>
    <row r="44" spans="2:17" ht="21" customHeight="1" thickBot="1">
      <c r="B44" s="248"/>
      <c r="C44" s="248" t="s">
        <v>3262</v>
      </c>
      <c r="D44" s="248"/>
      <c r="E44" s="248"/>
      <c r="F44" s="248"/>
      <c r="G44" s="277">
        <f>SUM(G15:G42)</f>
        <v>4859278.53</v>
      </c>
      <c r="H44" s="305">
        <f>SUM(H15:H43)</f>
        <v>0</v>
      </c>
      <c r="I44" s="301"/>
      <c r="K44" s="301"/>
    </row>
    <row r="45" spans="2:17" ht="13.8" thickTop="1">
      <c r="B45" s="1361" t="s">
        <v>98</v>
      </c>
      <c r="C45" s="1361"/>
      <c r="D45" s="1361"/>
      <c r="E45" s="1361"/>
      <c r="F45" s="1361"/>
      <c r="G45" s="1352"/>
      <c r="H45" s="1352"/>
    </row>
    <row r="46" spans="2:17">
      <c r="B46" s="302"/>
      <c r="C46" s="302"/>
      <c r="D46" s="302"/>
      <c r="E46" s="302"/>
      <c r="F46" s="302"/>
      <c r="G46" s="302"/>
      <c r="H46" s="302"/>
    </row>
    <row r="47" spans="2:17">
      <c r="B47" s="302"/>
      <c r="C47" s="302"/>
      <c r="D47" s="302"/>
      <c r="E47" s="302"/>
      <c r="F47" s="302"/>
      <c r="G47" s="302"/>
      <c r="H47" s="302"/>
    </row>
    <row r="48" spans="2:17">
      <c r="B48" s="302"/>
      <c r="C48" s="302"/>
      <c r="D48" s="302"/>
      <c r="E48" s="302"/>
      <c r="F48" s="302"/>
      <c r="G48" s="302"/>
      <c r="H48" s="302"/>
    </row>
    <row r="49" spans="2:8">
      <c r="B49" s="302"/>
      <c r="C49" s="302"/>
      <c r="D49" s="302"/>
      <c r="E49" s="302"/>
      <c r="F49" s="302"/>
      <c r="G49" s="302"/>
      <c r="H49" s="302"/>
    </row>
    <row r="50" spans="2:8" ht="13.8">
      <c r="B50" s="1353" t="s">
        <v>3136</v>
      </c>
      <c r="C50" s="1353"/>
      <c r="D50" s="1353"/>
      <c r="E50" s="1353"/>
      <c r="F50" s="1353"/>
      <c r="G50" s="1353"/>
      <c r="H50" s="1353"/>
    </row>
    <row r="55" spans="2:8">
      <c r="H55" s="301"/>
    </row>
  </sheetData>
  <sheetProtection algorithmName="SHA-512" hashValue="Nwc/0K9MfSVMSFhb97kZNOEKY288dj/WS1/hb7fd8ouQ4vf/5FOWy5yYAnhmAuxM7lDWhI07blXFHccqYKtW/A==" saltValue="jri+8NgxECEQBUG3Q0kIng==" spinCount="100000" sheet="1" objects="1" scenarios="1"/>
  <mergeCells count="11">
    <mergeCell ref="B2:H2"/>
    <mergeCell ref="B5:H5"/>
    <mergeCell ref="B6:H6"/>
    <mergeCell ref="B7:H7"/>
    <mergeCell ref="B3:H3"/>
    <mergeCell ref="B50:H50"/>
    <mergeCell ref="B8:H8"/>
    <mergeCell ref="B9:H9"/>
    <mergeCell ref="B10:H10"/>
    <mergeCell ref="B11:F11"/>
    <mergeCell ref="B45:H45"/>
  </mergeCells>
  <pageMargins left="0.25" right="0.25" top="0.5" bottom="0.5" header="0.25" footer="0.25"/>
  <pageSetup scale="76"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9CC48-D252-4FFB-8614-2AFF40CBE857}">
  <sheetPr codeName="Sheet157">
    <tabColor theme="6" tint="0.39997558519241921"/>
    <pageSetUpPr fitToPage="1"/>
  </sheetPr>
  <dimension ref="B2:Q55"/>
  <sheetViews>
    <sheetView topLeftCell="B18" zoomScaleNormal="100" zoomScaleSheetLayoutView="80" workbookViewId="0">
      <selection activeCell="H28" sqref="H28"/>
    </sheetView>
  </sheetViews>
  <sheetFormatPr defaultColWidth="8.88671875" defaultRowHeight="13.2"/>
  <cols>
    <col min="1" max="1" width="4.6640625" style="267" customWidth="1"/>
    <col min="2" max="2" width="4.88671875" style="267" customWidth="1"/>
    <col min="3" max="4" width="4.6640625" style="267" customWidth="1"/>
    <col min="5" max="5" width="34.33203125" style="267" customWidth="1"/>
    <col min="6" max="6" width="15.6640625" style="267" customWidth="1"/>
    <col min="7" max="8" width="16.6640625" style="267" customWidth="1"/>
    <col min="9" max="9" width="10.88671875" style="267" bestFit="1" customWidth="1"/>
    <col min="10" max="10" width="8.88671875" style="267"/>
    <col min="11" max="11" width="10.33203125" style="267" bestFit="1" customWidth="1"/>
    <col min="12" max="12" width="8.88671875" style="267"/>
    <col min="13" max="13" width="13.88671875" style="267" bestFit="1" customWidth="1"/>
    <col min="14" max="16384" width="8.88671875" style="267"/>
  </cols>
  <sheetData>
    <row r="2" spans="2:17">
      <c r="B2" s="1357" t="s">
        <v>35</v>
      </c>
      <c r="C2" s="1357"/>
      <c r="D2" s="1357"/>
      <c r="E2" s="1357"/>
      <c r="F2" s="1357"/>
      <c r="G2" s="1357"/>
      <c r="H2" s="1357"/>
    </row>
    <row r="3" spans="2:17">
      <c r="B3" s="1357" t="s">
        <v>449</v>
      </c>
      <c r="C3" s="1357"/>
      <c r="D3" s="1357"/>
      <c r="E3" s="1357"/>
      <c r="F3" s="1357"/>
      <c r="G3" s="1357"/>
      <c r="H3" s="1357"/>
    </row>
    <row r="5" spans="2:17" ht="22.8">
      <c r="B5" s="1358" t="s">
        <v>424</v>
      </c>
      <c r="C5" s="1358"/>
      <c r="D5" s="1358"/>
      <c r="E5" s="1358"/>
      <c r="F5" s="1358"/>
      <c r="G5" s="1358"/>
      <c r="H5" s="1358"/>
    </row>
    <row r="6" spans="2:17" ht="22.8">
      <c r="B6" s="1358" t="str">
        <f>"TRIAL  BALANCE - "&amp;UPPER('KEY INPUTS'!D54)&amp;"  UTILITY  FUND (cont'd)"</f>
        <v>TRIAL  BALANCE - WATER  UTILITY  FUND (cont'd)</v>
      </c>
      <c r="C6" s="1358"/>
      <c r="D6" s="1358"/>
      <c r="E6" s="1358"/>
      <c r="F6" s="1358"/>
      <c r="G6" s="1358"/>
      <c r="H6" s="1358"/>
    </row>
    <row r="7" spans="2:17" ht="15.6">
      <c r="B7" s="1359" t="str">
        <f>IF('KEY INPUTS'!C42 = "State Fiscal Year", 'KEY INPUTS'!F45,'KEY INPUTS'!D45)</f>
        <v>AS  AT  DECEMBER  31, 2024</v>
      </c>
      <c r="C7" s="1360"/>
      <c r="D7" s="1360"/>
      <c r="E7" s="1360"/>
      <c r="F7" s="1360"/>
      <c r="G7" s="1360"/>
      <c r="H7" s="1360"/>
    </row>
    <row r="8" spans="2:17" ht="15.6">
      <c r="B8" s="1354" t="s">
        <v>450</v>
      </c>
      <c r="C8" s="1354"/>
      <c r="D8" s="1354"/>
      <c r="E8" s="1354"/>
      <c r="F8" s="1354"/>
      <c r="G8" s="1354"/>
      <c r="H8" s="1354"/>
    </row>
    <row r="9" spans="2:17">
      <c r="B9" s="1355" t="s">
        <v>70</v>
      </c>
      <c r="C9" s="1355"/>
      <c r="D9" s="1355"/>
      <c r="E9" s="1355"/>
      <c r="F9" s="1355"/>
      <c r="G9" s="1355"/>
      <c r="H9" s="1355"/>
    </row>
    <row r="10" spans="2:17" ht="15" customHeight="1" thickBot="1">
      <c r="B10" s="1356" t="s">
        <v>71</v>
      </c>
      <c r="C10" s="1356"/>
      <c r="D10" s="1356"/>
      <c r="E10" s="1356"/>
      <c r="F10" s="1356"/>
      <c r="G10" s="1356"/>
      <c r="H10" s="1356"/>
    </row>
    <row r="11" spans="2:17" ht="36" customHeight="1" thickTop="1" thickBot="1">
      <c r="B11" s="1350" t="s">
        <v>95</v>
      </c>
      <c r="C11" s="1350"/>
      <c r="D11" s="1350"/>
      <c r="E11" s="1350"/>
      <c r="F11" s="1351"/>
      <c r="G11" s="304" t="s">
        <v>96</v>
      </c>
      <c r="H11" s="308" t="s">
        <v>97</v>
      </c>
    </row>
    <row r="12" spans="2:17" ht="21" customHeight="1" thickTop="1">
      <c r="B12" s="248"/>
      <c r="C12" s="248" t="s">
        <v>3263</v>
      </c>
      <c r="D12" s="248"/>
      <c r="E12" s="248"/>
      <c r="F12" s="248"/>
      <c r="G12" s="272">
        <f>'41a-Utility1'!G44</f>
        <v>4859278.53</v>
      </c>
      <c r="H12" s="255">
        <f>'41a-Utility1'!H44</f>
        <v>0</v>
      </c>
    </row>
    <row r="13" spans="2:17" ht="21" customHeight="1">
      <c r="C13" s="496"/>
      <c r="D13" s="496"/>
      <c r="E13" s="496"/>
      <c r="F13" s="496"/>
      <c r="G13" s="450"/>
      <c r="H13" s="498"/>
    </row>
    <row r="14" spans="2:17" ht="21" customHeight="1">
      <c r="B14" s="307"/>
      <c r="C14" s="495"/>
      <c r="D14" s="495"/>
      <c r="E14" s="495"/>
      <c r="F14" s="495"/>
      <c r="G14" s="450"/>
      <c r="H14" s="457"/>
      <c r="K14"/>
      <c r="L14"/>
      <c r="M14"/>
      <c r="N14"/>
      <c r="O14"/>
      <c r="P14"/>
      <c r="Q14"/>
    </row>
    <row r="15" spans="2:17" ht="21" customHeight="1">
      <c r="B15" s="248"/>
      <c r="C15" s="495"/>
      <c r="D15" s="495"/>
      <c r="E15" s="495"/>
      <c r="F15" s="495"/>
      <c r="G15" s="450"/>
      <c r="H15" s="457"/>
      <c r="K15"/>
      <c r="L15"/>
      <c r="M15"/>
      <c r="N15"/>
      <c r="O15"/>
      <c r="P15"/>
      <c r="Q15"/>
    </row>
    <row r="16" spans="2:17" ht="21" customHeight="1">
      <c r="B16" s="248"/>
      <c r="C16" s="495"/>
      <c r="D16" s="495"/>
      <c r="E16" s="495"/>
      <c r="F16" s="495"/>
      <c r="G16" s="289"/>
      <c r="H16" s="438"/>
      <c r="K16"/>
      <c r="L16"/>
      <c r="M16"/>
      <c r="N16"/>
      <c r="O16"/>
      <c r="P16"/>
      <c r="Q16"/>
    </row>
    <row r="17" spans="2:17" ht="21" customHeight="1">
      <c r="B17" s="248"/>
      <c r="C17" s="248" t="s">
        <v>3139</v>
      </c>
      <c r="D17" s="248"/>
      <c r="E17" s="248"/>
      <c r="F17" s="248"/>
      <c r="G17" s="663"/>
      <c r="H17" s="668">
        <f>+'49-Utility1'!G22</f>
        <v>0</v>
      </c>
      <c r="K17"/>
      <c r="L17"/>
      <c r="M17"/>
      <c r="N17"/>
      <c r="O17"/>
      <c r="P17"/>
      <c r="Q17"/>
    </row>
    <row r="18" spans="2:17" ht="21" customHeight="1">
      <c r="B18" s="248"/>
      <c r="C18" s="248" t="s">
        <v>3383</v>
      </c>
      <c r="D18" s="248"/>
      <c r="E18" s="248"/>
      <c r="F18" s="248"/>
      <c r="G18" s="663"/>
      <c r="H18" s="668">
        <f>+'49a-Utility1'!G11+'49a-Utility1'!G22+'49a.1-Utility1'!G11+'49a.1-Utility1'!G22</f>
        <v>1040033.75</v>
      </c>
    </row>
    <row r="19" spans="2:17" ht="21" customHeight="1">
      <c r="B19" s="248"/>
      <c r="C19" s="248" t="s">
        <v>3392</v>
      </c>
      <c r="D19" s="248"/>
      <c r="E19" s="248"/>
      <c r="F19" s="248"/>
      <c r="G19" s="663"/>
      <c r="H19" s="668">
        <f>+'51a-Utility1'!G23</f>
        <v>0</v>
      </c>
      <c r="K19"/>
      <c r="L19"/>
      <c r="M19"/>
      <c r="N19"/>
      <c r="O19"/>
      <c r="P19"/>
      <c r="Q19"/>
    </row>
    <row r="20" spans="2:17" ht="21" customHeight="1">
      <c r="B20" s="248"/>
      <c r="C20" s="248" t="s">
        <v>3138</v>
      </c>
      <c r="D20" s="248"/>
      <c r="E20" s="248"/>
      <c r="F20" s="248"/>
      <c r="G20" s="663"/>
      <c r="H20" s="668">
        <f>+'50.1-Utility1'!G18</f>
        <v>154000</v>
      </c>
      <c r="K20"/>
      <c r="L20"/>
      <c r="M20"/>
      <c r="N20"/>
      <c r="O20"/>
      <c r="P20"/>
      <c r="Q20"/>
    </row>
    <row r="21" spans="2:17" ht="21" customHeight="1">
      <c r="B21" s="248"/>
      <c r="C21" s="248" t="s">
        <v>802</v>
      </c>
      <c r="D21" s="248"/>
      <c r="E21" s="248"/>
      <c r="F21" s="248"/>
      <c r="G21" s="663"/>
      <c r="H21" s="668" t="s">
        <v>3131</v>
      </c>
      <c r="K21"/>
      <c r="L21"/>
      <c r="M21"/>
      <c r="N21"/>
      <c r="O21"/>
      <c r="P21"/>
      <c r="Q21"/>
    </row>
    <row r="22" spans="2:17" ht="21" customHeight="1">
      <c r="B22" s="248"/>
      <c r="C22" s="248"/>
      <c r="D22" s="248" t="s">
        <v>799</v>
      </c>
      <c r="E22" s="248"/>
      <c r="F22" s="248"/>
      <c r="G22" s="663"/>
      <c r="H22" s="668">
        <f>+'52-Totals-Utility1'!K27</f>
        <v>0</v>
      </c>
      <c r="J22" s="301"/>
      <c r="K22"/>
      <c r="L22"/>
      <c r="M22"/>
      <c r="N22"/>
      <c r="O22"/>
      <c r="P22"/>
      <c r="Q22"/>
    </row>
    <row r="23" spans="2:17" ht="21" customHeight="1">
      <c r="B23" s="248"/>
      <c r="C23" s="248"/>
      <c r="D23" s="248" t="s">
        <v>800</v>
      </c>
      <c r="E23" s="248"/>
      <c r="F23" s="248"/>
      <c r="G23" s="663"/>
      <c r="H23" s="668">
        <f>+'52-Totals-Utility1'!L27</f>
        <v>62925.75</v>
      </c>
      <c r="J23" s="301"/>
      <c r="K23"/>
      <c r="L23"/>
      <c r="M23"/>
      <c r="N23"/>
      <c r="O23"/>
      <c r="P23"/>
      <c r="Q23"/>
    </row>
    <row r="24" spans="2:17" ht="21" customHeight="1">
      <c r="B24" s="248"/>
      <c r="C24" s="495" t="s">
        <v>3137</v>
      </c>
      <c r="D24" s="495"/>
      <c r="E24" s="495"/>
      <c r="F24" s="495"/>
      <c r="G24" s="289"/>
      <c r="H24" s="419"/>
    </row>
    <row r="25" spans="2:17" ht="21" customHeight="1">
      <c r="B25" s="248"/>
      <c r="C25" s="495" t="s">
        <v>674</v>
      </c>
      <c r="D25" s="495"/>
      <c r="E25" s="495"/>
      <c r="F25" s="495"/>
      <c r="G25" s="289"/>
      <c r="H25" s="419"/>
    </row>
    <row r="26" spans="2:17" ht="21" customHeight="1">
      <c r="B26" s="248"/>
      <c r="C26" s="495" t="str">
        <f>"DUE TO "&amp;UPPER('KEY INPUTS'!D54)&amp;" OPERATING"</f>
        <v>DUE TO WATER OPERATING</v>
      </c>
      <c r="D26" s="495"/>
      <c r="E26" s="495"/>
      <c r="F26" s="495"/>
      <c r="G26" s="289"/>
      <c r="H26" s="419">
        <v>17637.7</v>
      </c>
    </row>
    <row r="27" spans="2:17" ht="21" customHeight="1">
      <c r="B27" s="248"/>
      <c r="C27" s="495" t="s">
        <v>673</v>
      </c>
      <c r="D27" s="495"/>
      <c r="E27" s="495"/>
      <c r="F27" s="495"/>
      <c r="G27" s="289"/>
      <c r="H27" s="419">
        <v>2948961.26</v>
      </c>
    </row>
    <row r="28" spans="2:17" ht="21" customHeight="1">
      <c r="B28" s="248"/>
      <c r="C28" s="495" t="s">
        <v>672</v>
      </c>
      <c r="D28" s="495"/>
      <c r="E28" s="495"/>
      <c r="F28" s="495"/>
      <c r="G28" s="289"/>
      <c r="H28" s="419">
        <v>524317.93000000005</v>
      </c>
    </row>
    <row r="29" spans="2:17" ht="21" customHeight="1">
      <c r="B29" s="248"/>
      <c r="C29" s="495" t="s">
        <v>287</v>
      </c>
      <c r="D29" s="495"/>
      <c r="E29" s="495"/>
      <c r="F29" s="495"/>
      <c r="G29" s="289"/>
      <c r="H29" s="419"/>
    </row>
    <row r="30" spans="2:17" ht="21" customHeight="1">
      <c r="B30" s="248"/>
      <c r="C30" s="495" t="s">
        <v>3681</v>
      </c>
      <c r="D30" s="495"/>
      <c r="E30" s="495"/>
      <c r="F30" s="495"/>
      <c r="G30" s="289"/>
      <c r="H30" s="438">
        <v>110726.9</v>
      </c>
    </row>
    <row r="31" spans="2:17" ht="21" customHeight="1">
      <c r="B31" s="248"/>
      <c r="C31" s="495"/>
      <c r="D31" s="495"/>
      <c r="E31" s="495"/>
      <c r="F31" s="495"/>
      <c r="G31" s="289"/>
      <c r="H31" s="438" t="s">
        <v>3131</v>
      </c>
    </row>
    <row r="32" spans="2:17" ht="21" customHeight="1">
      <c r="B32" s="248"/>
      <c r="C32" s="495"/>
      <c r="D32" s="495"/>
      <c r="E32" s="495"/>
      <c r="F32" s="495"/>
      <c r="G32" s="289"/>
      <c r="H32" s="498"/>
    </row>
    <row r="33" spans="2:13" ht="21" customHeight="1">
      <c r="B33" s="248"/>
      <c r="C33" s="495"/>
      <c r="D33" s="495"/>
      <c r="E33" s="495"/>
      <c r="F33" s="495"/>
      <c r="G33" s="289"/>
      <c r="H33" s="438" t="s">
        <v>3131</v>
      </c>
    </row>
    <row r="34" spans="2:13" ht="21" customHeight="1">
      <c r="B34" s="248"/>
      <c r="C34" s="495"/>
      <c r="D34" s="495"/>
      <c r="E34" s="495"/>
      <c r="F34" s="495"/>
      <c r="G34" s="289"/>
      <c r="H34" s="438"/>
    </row>
    <row r="35" spans="2:13" ht="21" customHeight="1">
      <c r="B35" s="248"/>
      <c r="C35" s="495"/>
      <c r="D35" s="495"/>
      <c r="E35" s="495"/>
      <c r="F35" s="495"/>
      <c r="G35" s="289"/>
      <c r="H35" s="438"/>
    </row>
    <row r="36" spans="2:13" ht="21" customHeight="1">
      <c r="B36" s="248"/>
      <c r="C36" s="495"/>
      <c r="D36" s="495"/>
      <c r="E36" s="495"/>
      <c r="F36" s="495"/>
      <c r="G36" s="289"/>
      <c r="H36" s="438" t="s">
        <v>3131</v>
      </c>
    </row>
    <row r="37" spans="2:13" ht="21" customHeight="1">
      <c r="B37" s="248"/>
      <c r="C37" s="495"/>
      <c r="D37" s="495"/>
      <c r="E37" s="495"/>
      <c r="F37" s="495"/>
      <c r="G37" s="289"/>
      <c r="H37" s="498"/>
    </row>
    <row r="38" spans="2:13" ht="21" customHeight="1">
      <c r="B38" s="248"/>
      <c r="C38" s="495"/>
      <c r="D38" s="495"/>
      <c r="E38" s="495"/>
      <c r="F38" s="495"/>
      <c r="G38" s="289"/>
      <c r="H38" s="438" t="s">
        <v>3131</v>
      </c>
    </row>
    <row r="39" spans="2:13" ht="21" customHeight="1">
      <c r="B39" s="248"/>
      <c r="C39" s="495"/>
      <c r="D39" s="495"/>
      <c r="E39" s="495"/>
      <c r="F39" s="495"/>
      <c r="G39" s="289"/>
      <c r="H39" s="438"/>
    </row>
    <row r="40" spans="2:13" ht="21" customHeight="1">
      <c r="B40" s="248"/>
      <c r="C40" s="248" t="s">
        <v>3199</v>
      </c>
      <c r="D40" s="248"/>
      <c r="E40" s="248"/>
      <c r="F40" s="248"/>
      <c r="G40" s="272"/>
      <c r="H40" s="255">
        <f>+'53-Utility1'!I41</f>
        <v>0</v>
      </c>
    </row>
    <row r="41" spans="2:13" ht="21" customHeight="1">
      <c r="B41" s="248"/>
      <c r="C41" s="248" t="s">
        <v>803</v>
      </c>
      <c r="D41" s="248"/>
      <c r="E41" s="248"/>
      <c r="F41" s="248"/>
      <c r="G41" s="272"/>
      <c r="H41" s="255">
        <f>+'53-Utility1'!I24</f>
        <v>0</v>
      </c>
    </row>
    <row r="42" spans="2:13" ht="21" customHeight="1">
      <c r="B42" s="248"/>
      <c r="C42" s="248" t="s">
        <v>641</v>
      </c>
      <c r="D42" s="248"/>
      <c r="E42" s="248"/>
      <c r="F42" s="248"/>
      <c r="G42" s="272"/>
      <c r="H42" s="255">
        <f>+'54-Utility1'!I42</f>
        <v>675.24</v>
      </c>
    </row>
    <row r="43" spans="2:13" ht="21" customHeight="1" thickBot="1">
      <c r="B43" s="248"/>
      <c r="C43" s="248"/>
      <c r="D43" s="248"/>
      <c r="E43" s="248"/>
      <c r="F43" s="248"/>
      <c r="G43" s="256"/>
      <c r="H43" s="306"/>
      <c r="I43" s="301"/>
      <c r="M43" s="301"/>
    </row>
    <row r="44" spans="2:13" ht="21" customHeight="1" thickBot="1">
      <c r="B44" s="248"/>
      <c r="C44" s="248" t="s">
        <v>798</v>
      </c>
      <c r="D44" s="248"/>
      <c r="E44" s="248"/>
      <c r="F44" s="248"/>
      <c r="G44" s="277">
        <f>SUM(G12:G42)</f>
        <v>4859278.53</v>
      </c>
      <c r="H44" s="305">
        <f>SUM(H12:H43)</f>
        <v>4859278.53</v>
      </c>
      <c r="I44" s="301"/>
      <c r="K44" s="301"/>
    </row>
    <row r="45" spans="2:13" ht="13.8" thickTop="1">
      <c r="B45" s="1361" t="s">
        <v>98</v>
      </c>
      <c r="C45" s="1361"/>
      <c r="D45" s="1361"/>
      <c r="E45" s="1361"/>
      <c r="F45" s="1361"/>
      <c r="G45" s="1352"/>
      <c r="H45" s="1352"/>
    </row>
    <row r="46" spans="2:13">
      <c r="B46" s="302"/>
      <c r="C46" s="302"/>
      <c r="D46" s="302"/>
      <c r="E46" s="302"/>
      <c r="F46" s="302"/>
      <c r="G46" s="302"/>
      <c r="H46" s="302"/>
    </row>
    <row r="47" spans="2:13">
      <c r="B47" s="302"/>
      <c r="C47" s="302"/>
      <c r="D47" s="302"/>
      <c r="E47" s="302"/>
      <c r="F47" s="302"/>
      <c r="G47" s="302"/>
      <c r="H47" s="302"/>
    </row>
    <row r="48" spans="2:13">
      <c r="B48" s="302"/>
      <c r="C48" s="302"/>
      <c r="D48" s="302"/>
      <c r="E48" s="302"/>
      <c r="F48" s="302"/>
      <c r="G48" s="302"/>
      <c r="H48" s="302"/>
    </row>
    <row r="49" spans="2:8">
      <c r="B49" s="302"/>
      <c r="C49" s="302"/>
      <c r="D49" s="302"/>
      <c r="E49" s="302"/>
      <c r="F49" s="302"/>
      <c r="G49" s="302"/>
      <c r="H49" s="302"/>
    </row>
    <row r="50" spans="2:8" ht="13.8">
      <c r="B50" s="1353" t="s">
        <v>3394</v>
      </c>
      <c r="C50" s="1353"/>
      <c r="D50" s="1353"/>
      <c r="E50" s="1353"/>
      <c r="F50" s="1353"/>
      <c r="G50" s="1353"/>
      <c r="H50" s="1353"/>
    </row>
    <row r="55" spans="2:8">
      <c r="H55" s="301"/>
    </row>
  </sheetData>
  <sheetProtection algorithmName="SHA-512" hashValue="0LinqSQmDmfL8lRJpywY2wf/tDDMz3u9jg6NkFQJEKYcUJHVTAcMHxxXsZWGajHRpPPzM6SIo3UfeHO0hPo27A==" saltValue="Mbk2DsjNExT4fX8/I+Afcw=="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scale="7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fitToPage="1"/>
  </sheetPr>
  <dimension ref="B3:K48"/>
  <sheetViews>
    <sheetView topLeftCell="A19" zoomScaleNormal="100" workbookViewId="0">
      <selection activeCell="F43" sqref="F43"/>
    </sheetView>
  </sheetViews>
  <sheetFormatPr defaultRowHeight="13.2"/>
  <cols>
    <col min="1" max="1" width="4.6640625" customWidth="1"/>
    <col min="2" max="2" width="4.88671875" customWidth="1"/>
    <col min="3" max="4" width="4.6640625" customWidth="1"/>
    <col min="5" max="5" width="30.6640625" customWidth="1"/>
    <col min="6" max="6" width="15.6640625" customWidth="1"/>
    <col min="7" max="8" width="18.6640625" customWidth="1"/>
  </cols>
  <sheetData>
    <row r="3" spans="2:9" ht="22.8">
      <c r="B3" s="1176" t="s">
        <v>424</v>
      </c>
      <c r="C3" s="1176"/>
      <c r="D3" s="1176"/>
      <c r="E3" s="1176"/>
      <c r="F3" s="1176"/>
      <c r="G3" s="1176"/>
      <c r="H3" s="1176"/>
    </row>
    <row r="4" spans="2:9" ht="22.8">
      <c r="B4" s="1176" t="s">
        <v>3612</v>
      </c>
      <c r="C4" s="1176"/>
      <c r="D4" s="1176"/>
      <c r="E4" s="1176"/>
      <c r="F4" s="1176"/>
      <c r="G4" s="1176"/>
      <c r="H4" s="1176"/>
    </row>
    <row r="5" spans="2:9" ht="17.399999999999999">
      <c r="B5" s="1186" t="s">
        <v>620</v>
      </c>
      <c r="C5" s="1186"/>
      <c r="D5" s="1186"/>
      <c r="E5" s="1186"/>
      <c r="F5" s="1186"/>
      <c r="G5" s="1186"/>
      <c r="H5" s="1186"/>
    </row>
    <row r="6" spans="2:9" ht="15.6">
      <c r="B6" s="1182" t="str">
        <f>IF('KEY INPUTS'!C42 = "State Fiscal Year", 'KEY INPUTS'!F45,'KEY INPUTS'!D45)</f>
        <v>AS  AT  DECEMBER  31, 2024</v>
      </c>
      <c r="C6" s="1132"/>
      <c r="D6" s="1132"/>
      <c r="E6" s="1132"/>
      <c r="F6" s="1132"/>
      <c r="G6" s="1132"/>
      <c r="H6" s="1132"/>
    </row>
    <row r="7" spans="2:9" ht="13.8" thickBot="1"/>
    <row r="8" spans="2:9" ht="36" customHeight="1" thickTop="1" thickBot="1">
      <c r="B8" s="1179" t="s">
        <v>95</v>
      </c>
      <c r="C8" s="1179"/>
      <c r="D8" s="1179"/>
      <c r="E8" s="1179"/>
      <c r="F8" s="1180"/>
      <c r="G8" s="4" t="s">
        <v>96</v>
      </c>
      <c r="H8" s="3" t="s">
        <v>97</v>
      </c>
    </row>
    <row r="9" spans="2:9" ht="21" customHeight="1" thickTop="1">
      <c r="G9" s="627"/>
      <c r="H9" s="628"/>
      <c r="I9" s="575"/>
    </row>
    <row r="10" spans="2:9" ht="21" customHeight="1">
      <c r="B10" s="263" t="s">
        <v>3233</v>
      </c>
      <c r="C10" s="5"/>
      <c r="D10" s="5"/>
      <c r="E10" s="5"/>
      <c r="F10" s="5"/>
      <c r="G10" s="629"/>
      <c r="H10" s="509"/>
    </row>
    <row r="11" spans="2:9" ht="21" customHeight="1">
      <c r="B11" s="5"/>
      <c r="C11" s="263" t="s">
        <v>351</v>
      </c>
      <c r="D11" s="5"/>
      <c r="E11" s="5"/>
      <c r="F11" s="5"/>
      <c r="G11" s="629">
        <f>+'9-Cash Reconciliation'!I12</f>
        <v>0</v>
      </c>
      <c r="H11" s="509"/>
      <c r="I11" s="575"/>
    </row>
    <row r="12" spans="2:9" ht="21" customHeight="1">
      <c r="B12" s="417"/>
      <c r="C12" s="418" t="s">
        <v>3196</v>
      </c>
      <c r="D12" s="417"/>
      <c r="E12" s="417"/>
      <c r="F12" s="417"/>
      <c r="G12" s="291"/>
      <c r="H12" s="429"/>
    </row>
    <row r="13" spans="2:9" ht="21" customHeight="1">
      <c r="B13" s="1187"/>
      <c r="C13" s="1187"/>
      <c r="D13" s="1187"/>
      <c r="E13" s="1187"/>
      <c r="F13" s="1188"/>
      <c r="G13" s="291"/>
      <c r="H13" s="429"/>
    </row>
    <row r="14" spans="2:9" ht="21" customHeight="1">
      <c r="B14" s="614"/>
      <c r="C14" s="614"/>
      <c r="D14" s="614"/>
      <c r="E14" s="614"/>
      <c r="F14" s="720"/>
      <c r="G14" s="291"/>
      <c r="H14" s="429"/>
    </row>
    <row r="15" spans="2:9" ht="21" customHeight="1">
      <c r="B15" s="614"/>
      <c r="C15" s="614"/>
      <c r="D15" s="614"/>
      <c r="E15" s="614"/>
      <c r="F15" s="720"/>
      <c r="G15" s="291"/>
      <c r="H15" s="429"/>
    </row>
    <row r="16" spans="2:9" ht="21" customHeight="1">
      <c r="B16" s="614"/>
      <c r="C16" s="614"/>
      <c r="D16" s="614"/>
      <c r="E16" s="614"/>
      <c r="F16" s="720"/>
      <c r="G16" s="291"/>
      <c r="H16" s="429"/>
    </row>
    <row r="17" spans="2:11" ht="21" customHeight="1">
      <c r="B17" s="1187"/>
      <c r="C17" s="1187"/>
      <c r="D17" s="1187"/>
      <c r="E17" s="1187"/>
      <c r="F17" s="1188"/>
      <c r="G17" s="291"/>
      <c r="H17" s="429"/>
      <c r="K17" s="294"/>
    </row>
    <row r="18" spans="2:11" ht="21" customHeight="1">
      <c r="B18" s="1187"/>
      <c r="C18" s="1187"/>
      <c r="D18" s="1187"/>
      <c r="E18" s="1187"/>
      <c r="F18" s="1188"/>
      <c r="G18" s="291"/>
      <c r="H18" s="429"/>
    </row>
    <row r="19" spans="2:11" ht="21" customHeight="1" thickBot="1">
      <c r="B19" s="1187"/>
      <c r="C19" s="1187"/>
      <c r="D19" s="1187"/>
      <c r="E19" s="1187"/>
      <c r="F19" s="1188"/>
      <c r="G19" s="291"/>
      <c r="H19" s="429"/>
    </row>
    <row r="20" spans="2:11" ht="21" customHeight="1" thickTop="1" thickBot="1">
      <c r="B20" s="563"/>
      <c r="C20" s="571" t="s">
        <v>3228</v>
      </c>
      <c r="D20" s="563"/>
      <c r="E20" s="563"/>
      <c r="F20" s="563"/>
      <c r="G20" s="631">
        <f>SUM(G9:G19)</f>
        <v>0</v>
      </c>
      <c r="H20" s="635">
        <f>SUM(H9:H19)</f>
        <v>0</v>
      </c>
    </row>
    <row r="21" spans="2:11" ht="21" customHeight="1" thickTop="1">
      <c r="B21" s="5"/>
      <c r="C21" s="5"/>
      <c r="D21" s="5"/>
      <c r="E21" s="5"/>
      <c r="F21" s="5"/>
      <c r="G21" s="629"/>
      <c r="H21" s="509"/>
    </row>
    <row r="22" spans="2:11" ht="21" customHeight="1">
      <c r="B22" s="263" t="s">
        <v>3535</v>
      </c>
      <c r="C22" s="5"/>
      <c r="D22" s="5"/>
      <c r="E22" s="5"/>
      <c r="F22" s="5"/>
      <c r="G22" s="629"/>
      <c r="H22" s="509"/>
    </row>
    <row r="23" spans="2:11" ht="21" customHeight="1">
      <c r="B23" s="5"/>
      <c r="C23" s="263" t="s">
        <v>351</v>
      </c>
      <c r="D23" s="5"/>
      <c r="E23" s="5"/>
      <c r="F23" s="5"/>
      <c r="G23" s="629">
        <f>'9-Cash Reconciliation'!I14</f>
        <v>0</v>
      </c>
      <c r="H23" s="509"/>
    </row>
    <row r="24" spans="2:11" ht="21" customHeight="1">
      <c r="B24" s="417"/>
      <c r="C24" s="417"/>
      <c r="D24" s="417"/>
      <c r="E24" s="417"/>
      <c r="F24" s="417"/>
      <c r="G24" s="291"/>
      <c r="H24" s="429"/>
    </row>
    <row r="25" spans="2:11" ht="21" customHeight="1">
      <c r="B25" s="417"/>
      <c r="C25" s="417"/>
      <c r="D25" s="417"/>
      <c r="E25" s="417"/>
      <c r="F25" s="417"/>
      <c r="G25" s="291"/>
      <c r="H25" s="429"/>
    </row>
    <row r="26" spans="2:11" ht="21" customHeight="1">
      <c r="B26" s="417"/>
      <c r="C26" s="417"/>
      <c r="D26" s="417"/>
      <c r="E26" s="417"/>
      <c r="F26" s="417"/>
      <c r="G26" s="291"/>
      <c r="H26" s="429"/>
    </row>
    <row r="27" spans="2:11" ht="21" customHeight="1">
      <c r="B27" s="417"/>
      <c r="C27" s="417"/>
      <c r="D27" s="417"/>
      <c r="E27" s="417"/>
      <c r="F27" s="417"/>
      <c r="G27" s="291"/>
      <c r="H27" s="429"/>
    </row>
    <row r="28" spans="2:11" ht="21" customHeight="1">
      <c r="B28" s="417"/>
      <c r="C28" s="417"/>
      <c r="D28" s="417"/>
      <c r="E28" s="417"/>
      <c r="F28" s="417"/>
      <c r="G28" s="291"/>
      <c r="H28" s="429"/>
    </row>
    <row r="29" spans="2:11" ht="21" customHeight="1" thickBot="1">
      <c r="B29" s="417"/>
      <c r="C29" s="417"/>
      <c r="D29" s="417"/>
      <c r="E29" s="417"/>
      <c r="F29" s="417"/>
      <c r="G29" s="977"/>
      <c r="H29" s="430"/>
    </row>
    <row r="30" spans="2:11" ht="21" customHeight="1" thickTop="1" thickBot="1">
      <c r="B30" s="5"/>
      <c r="C30" s="5" t="s">
        <v>3228</v>
      </c>
      <c r="D30" s="5"/>
      <c r="E30" s="5"/>
      <c r="F30" s="5"/>
      <c r="G30" s="993">
        <f>SUM(G23:G29)</f>
        <v>0</v>
      </c>
      <c r="H30" s="994">
        <f>SUM(H23:H29)</f>
        <v>0</v>
      </c>
    </row>
    <row r="31" spans="2:11" ht="21" customHeight="1" thickTop="1">
      <c r="B31" s="5"/>
      <c r="C31" s="5"/>
      <c r="D31" s="5"/>
      <c r="E31" s="5"/>
      <c r="F31" s="5"/>
      <c r="G31" s="633"/>
      <c r="H31" s="634"/>
    </row>
    <row r="32" spans="2:11" ht="21" customHeight="1">
      <c r="B32" s="5" t="s">
        <v>3234</v>
      </c>
      <c r="C32" s="5"/>
      <c r="D32" s="5"/>
      <c r="E32" s="5"/>
      <c r="F32" s="5"/>
      <c r="G32" s="629"/>
      <c r="H32" s="509"/>
    </row>
    <row r="33" spans="2:8" ht="21" customHeight="1">
      <c r="B33" s="5"/>
      <c r="C33" s="5" t="s">
        <v>351</v>
      </c>
      <c r="D33" s="5"/>
      <c r="E33" s="5"/>
      <c r="F33" s="5"/>
      <c r="G33" s="629">
        <f>'9-Cash Reconciliation'!I13</f>
        <v>241416.87</v>
      </c>
      <c r="H33" s="509"/>
    </row>
    <row r="34" spans="2:8" ht="21" customHeight="1">
      <c r="B34" s="417"/>
      <c r="C34" s="418"/>
      <c r="D34" s="417"/>
      <c r="E34" s="417"/>
      <c r="F34" s="417"/>
      <c r="G34" s="291"/>
      <c r="H34" s="429"/>
    </row>
    <row r="35" spans="2:8" ht="21" customHeight="1">
      <c r="B35" s="417"/>
      <c r="C35" s="418" t="s">
        <v>3746</v>
      </c>
      <c r="D35" s="417"/>
      <c r="E35" s="417"/>
      <c r="F35" s="417"/>
      <c r="G35" s="291">
        <f>66812.3+20828.15</f>
        <v>87640.450000000012</v>
      </c>
      <c r="H35" s="429"/>
    </row>
    <row r="36" spans="2:8" ht="21" customHeight="1">
      <c r="B36" s="417"/>
      <c r="C36" s="418" t="s">
        <v>3747</v>
      </c>
      <c r="D36" s="417"/>
      <c r="E36" s="417"/>
      <c r="F36" s="417"/>
      <c r="G36" s="291"/>
      <c r="H36" s="429">
        <v>100800</v>
      </c>
    </row>
    <row r="37" spans="2:8" ht="21" customHeight="1">
      <c r="B37" s="417"/>
      <c r="C37" s="418" t="s">
        <v>3748</v>
      </c>
      <c r="D37" s="417"/>
      <c r="E37" s="417"/>
      <c r="F37" s="417"/>
      <c r="G37" s="291"/>
      <c r="H37" s="429">
        <v>31702.79</v>
      </c>
    </row>
    <row r="38" spans="2:8" ht="21" customHeight="1">
      <c r="B38" s="417"/>
      <c r="C38" s="418" t="s">
        <v>3749</v>
      </c>
      <c r="D38" s="417"/>
      <c r="E38" s="417"/>
      <c r="F38" s="417"/>
      <c r="G38" s="291"/>
      <c r="H38" s="429">
        <v>152677.71</v>
      </c>
    </row>
    <row r="39" spans="2:8" ht="21" customHeight="1">
      <c r="B39" s="417"/>
      <c r="C39" s="418" t="s">
        <v>3750</v>
      </c>
      <c r="D39" s="417"/>
      <c r="E39" s="417"/>
      <c r="F39" s="417"/>
      <c r="G39" s="291"/>
      <c r="H39" s="429">
        <v>42724.800000000003</v>
      </c>
    </row>
    <row r="40" spans="2:8" ht="21" customHeight="1">
      <c r="B40" s="417"/>
      <c r="C40" s="418" t="s">
        <v>3751</v>
      </c>
      <c r="D40" s="417"/>
      <c r="E40" s="417"/>
      <c r="F40" s="417"/>
      <c r="G40" s="291"/>
      <c r="H40" s="429">
        <v>0.02</v>
      </c>
    </row>
    <row r="41" spans="2:8" ht="21" customHeight="1">
      <c r="B41" s="417"/>
      <c r="C41" s="418" t="s">
        <v>3752</v>
      </c>
      <c r="D41" s="417"/>
      <c r="E41" s="417"/>
      <c r="F41" s="417"/>
      <c r="G41" s="291"/>
      <c r="H41" s="429">
        <v>2</v>
      </c>
    </row>
    <row r="42" spans="2:8" ht="21" customHeight="1">
      <c r="B42" s="417"/>
      <c r="C42" s="418" t="s">
        <v>3753</v>
      </c>
      <c r="D42" s="417"/>
      <c r="E42" s="417"/>
      <c r="F42" s="417"/>
      <c r="G42" s="291"/>
      <c r="H42" s="429">
        <v>1150</v>
      </c>
    </row>
    <row r="43" spans="2:8" ht="21" customHeight="1">
      <c r="B43" s="417"/>
      <c r="C43" s="417"/>
      <c r="D43" s="417"/>
      <c r="E43" s="417"/>
      <c r="F43" s="417"/>
      <c r="G43" s="291"/>
      <c r="H43" s="429"/>
    </row>
    <row r="44" spans="2:8" ht="21" customHeight="1">
      <c r="B44" s="263" t="s">
        <v>3249</v>
      </c>
      <c r="C44" s="5"/>
      <c r="D44" s="5"/>
      <c r="E44" s="5"/>
      <c r="F44" s="5"/>
      <c r="G44" s="629">
        <f>SUM(G33:G43)</f>
        <v>329057.32</v>
      </c>
      <c r="H44" s="636">
        <f>SUM(H33:H43)</f>
        <v>329057.32</v>
      </c>
    </row>
    <row r="45" spans="2:8">
      <c r="B45" s="1158" t="s">
        <v>98</v>
      </c>
      <c r="C45" s="1158"/>
      <c r="D45" s="1158"/>
      <c r="E45" s="1158"/>
      <c r="F45" s="1158"/>
      <c r="G45" s="1158"/>
      <c r="H45" s="1158"/>
    </row>
    <row r="46" spans="2:8">
      <c r="B46" s="1"/>
      <c r="C46" s="1"/>
      <c r="D46" s="1"/>
      <c r="E46" s="1"/>
      <c r="F46" s="1"/>
      <c r="G46" s="1"/>
      <c r="H46" s="1"/>
    </row>
    <row r="48" spans="2:8" ht="13.8">
      <c r="B48" s="1130" t="s">
        <v>143</v>
      </c>
      <c r="C48" s="1130"/>
      <c r="D48" s="1130"/>
      <c r="E48" s="1130"/>
      <c r="F48" s="1130"/>
      <c r="G48" s="1130"/>
      <c r="H48" s="1130"/>
    </row>
  </sheetData>
  <sheetProtection algorithmName="SHA-512" hashValue="M2sPcxWsQgH69biKk+kAIC3vO0qMpEgapPXxK6EZzR4vCjNAfSjrGRlLwIna5D14lUnpiD3+MNdaXFCldeYGsg==" saltValue="WaYugXKP0g5BGOOenswDjA==" spinCount="100000" sheet="1" objects="1" scenarios="1"/>
  <mergeCells count="11">
    <mergeCell ref="B8:F8"/>
    <mergeCell ref="B45:H45"/>
    <mergeCell ref="B48:H48"/>
    <mergeCell ref="B3:H3"/>
    <mergeCell ref="B4:H4"/>
    <mergeCell ref="B6:H6"/>
    <mergeCell ref="B5:H5"/>
    <mergeCell ref="B13:F13"/>
    <mergeCell ref="B17:F17"/>
    <mergeCell ref="B18:F18"/>
    <mergeCell ref="B19:F19"/>
  </mergeCells>
  <phoneticPr fontId="0" type="noConversion"/>
  <pageMargins left="0.25" right="0.25" top="0.5" bottom="0.5" header="0.25" footer="0.25"/>
  <pageSetup scale="76"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0CCAF-4060-4075-ABB4-1D800419C859}">
  <sheetPr codeName="Sheet158">
    <tabColor theme="6" tint="0.39997558519241921"/>
  </sheetPr>
  <dimension ref="B3:R49"/>
  <sheetViews>
    <sheetView zoomScaleNormal="100" zoomScaleSheetLayoutView="80" workbookViewId="0">
      <selection activeCell="B4" sqref="B4:H4"/>
    </sheetView>
  </sheetViews>
  <sheetFormatPr defaultColWidth="9.109375" defaultRowHeight="13.2"/>
  <cols>
    <col min="1" max="1" width="4.6640625" style="267" customWidth="1"/>
    <col min="2" max="2" width="4.88671875" style="267" customWidth="1"/>
    <col min="3" max="4" width="4.6640625" style="267" customWidth="1"/>
    <col min="5" max="5" width="30.6640625" style="267" customWidth="1"/>
    <col min="6" max="6" width="15.6640625" style="267" customWidth="1"/>
    <col min="7" max="8" width="16.6640625" style="267" customWidth="1"/>
    <col min="9" max="16384" width="9.109375" style="267"/>
  </cols>
  <sheetData>
    <row r="3" spans="2:18" ht="22.8">
      <c r="B3" s="1358" t="s">
        <v>823</v>
      </c>
      <c r="C3" s="1358"/>
      <c r="D3" s="1358"/>
      <c r="E3" s="1358"/>
      <c r="F3" s="1358"/>
      <c r="G3" s="1358"/>
      <c r="H3" s="1358"/>
    </row>
    <row r="4" spans="2:18" ht="22.8">
      <c r="B4" s="1358" t="s">
        <v>824</v>
      </c>
      <c r="C4" s="1358"/>
      <c r="D4" s="1358"/>
      <c r="E4" s="1358"/>
      <c r="F4" s="1358"/>
      <c r="G4" s="1358"/>
      <c r="H4" s="1358"/>
    </row>
    <row r="5" spans="2:18" ht="15.6">
      <c r="B5" s="1360"/>
      <c r="C5" s="1360"/>
      <c r="D5" s="1360"/>
      <c r="E5" s="1360"/>
      <c r="F5" s="1360"/>
      <c r="G5" s="1360"/>
      <c r="H5" s="1360"/>
    </row>
    <row r="6" spans="2:18" ht="13.8">
      <c r="B6" s="1362" t="s">
        <v>825</v>
      </c>
      <c r="C6" s="1362"/>
      <c r="D6" s="1362"/>
      <c r="E6" s="1362"/>
      <c r="F6" s="1362"/>
      <c r="G6" s="1362"/>
      <c r="H6" s="1362"/>
    </row>
    <row r="7" spans="2:18" ht="13.8">
      <c r="B7" s="1362" t="s">
        <v>829</v>
      </c>
      <c r="C7" s="1362"/>
      <c r="D7" s="1362"/>
      <c r="E7" s="1362"/>
      <c r="F7" s="1362"/>
      <c r="G7" s="1362"/>
      <c r="H7" s="1362"/>
    </row>
    <row r="8" spans="2:18" ht="13.8">
      <c r="B8" s="787"/>
      <c r="C8" s="787"/>
      <c r="D8" s="787"/>
      <c r="E8" s="787"/>
      <c r="F8" s="787"/>
      <c r="G8" s="787"/>
      <c r="H8" s="787"/>
    </row>
    <row r="9" spans="2:18" ht="15" customHeight="1" thickBot="1">
      <c r="B9" s="1359" t="str">
        <f>IF('KEY INPUTS'!C42 = "State Fiscal Year", 'KEY INPUTS'!F45,'KEY INPUTS'!D45)</f>
        <v>AS  AT  DECEMBER  31, 2024</v>
      </c>
      <c r="C9" s="1360"/>
      <c r="D9" s="1360"/>
      <c r="E9" s="1360"/>
      <c r="F9" s="1360"/>
      <c r="G9" s="1360"/>
      <c r="H9" s="1360"/>
    </row>
    <row r="10" spans="2:18" ht="36" customHeight="1" thickTop="1" thickBot="1">
      <c r="B10" s="1350" t="s">
        <v>95</v>
      </c>
      <c r="C10" s="1350"/>
      <c r="D10" s="1350"/>
      <c r="E10" s="1350"/>
      <c r="F10" s="1351"/>
      <c r="G10" s="304" t="s">
        <v>96</v>
      </c>
      <c r="H10" s="308" t="s">
        <v>97</v>
      </c>
    </row>
    <row r="11" spans="2:18" ht="21" customHeight="1" thickTop="1">
      <c r="B11" s="574" t="s">
        <v>351</v>
      </c>
      <c r="C11" s="574"/>
      <c r="D11" s="574"/>
      <c r="E11" s="574"/>
      <c r="F11" s="574"/>
      <c r="G11" s="497"/>
      <c r="H11" s="498"/>
      <c r="L11"/>
      <c r="M11"/>
      <c r="N11"/>
      <c r="O11"/>
      <c r="P11"/>
      <c r="Q11"/>
      <c r="R11"/>
    </row>
    <row r="12" spans="2:18" ht="21" customHeight="1">
      <c r="B12" s="495"/>
      <c r="C12" s="495"/>
      <c r="D12" s="495"/>
      <c r="E12" s="495"/>
      <c r="F12" s="495"/>
      <c r="G12" s="450"/>
      <c r="H12" s="457"/>
      <c r="L12"/>
      <c r="M12"/>
      <c r="N12"/>
      <c r="O12"/>
      <c r="P12"/>
      <c r="Q12"/>
      <c r="R12"/>
    </row>
    <row r="13" spans="2:18" ht="21" customHeight="1">
      <c r="B13" s="495"/>
      <c r="C13" s="495"/>
      <c r="D13" s="495"/>
      <c r="E13" s="495"/>
      <c r="F13" s="495"/>
      <c r="G13" s="450"/>
      <c r="H13" s="457"/>
      <c r="L13" s="294"/>
      <c r="M13"/>
      <c r="N13"/>
      <c r="O13"/>
      <c r="P13"/>
      <c r="Q13"/>
      <c r="R13"/>
    </row>
    <row r="14" spans="2:18" ht="21" customHeight="1">
      <c r="B14" s="495"/>
      <c r="C14" s="495"/>
      <c r="D14" s="495"/>
      <c r="E14" s="495"/>
      <c r="F14" s="495"/>
      <c r="G14" s="450"/>
      <c r="H14" s="457"/>
      <c r="L14"/>
      <c r="M14"/>
      <c r="N14"/>
      <c r="O14"/>
      <c r="P14"/>
      <c r="Q14"/>
      <c r="R14"/>
    </row>
    <row r="15" spans="2:18" ht="21" customHeight="1">
      <c r="B15" s="495"/>
      <c r="C15" s="495"/>
      <c r="D15" s="495"/>
      <c r="E15" s="495"/>
      <c r="F15" s="495"/>
      <c r="G15" s="450"/>
      <c r="H15" s="457"/>
      <c r="L15"/>
      <c r="M15"/>
      <c r="N15"/>
      <c r="O15"/>
      <c r="P15"/>
      <c r="Q15"/>
      <c r="R15"/>
    </row>
    <row r="16" spans="2:18" ht="21" customHeight="1">
      <c r="B16" s="495"/>
      <c r="C16" s="495"/>
      <c r="D16" s="495"/>
      <c r="E16" s="495"/>
      <c r="F16" s="495"/>
      <c r="G16" s="450"/>
      <c r="H16" s="457"/>
      <c r="L16"/>
      <c r="M16"/>
      <c r="N16"/>
      <c r="O16"/>
      <c r="P16"/>
      <c r="Q16"/>
      <c r="R16"/>
    </row>
    <row r="17" spans="2:18" ht="21" customHeight="1">
      <c r="B17" s="495"/>
      <c r="C17" s="495"/>
      <c r="D17" s="495"/>
      <c r="E17" s="495"/>
      <c r="F17" s="495"/>
      <c r="G17" s="450"/>
      <c r="H17" s="457"/>
      <c r="L17"/>
      <c r="M17"/>
      <c r="N17"/>
      <c r="O17"/>
      <c r="P17"/>
      <c r="Q17"/>
      <c r="R17"/>
    </row>
    <row r="18" spans="2:18" ht="21" customHeight="1">
      <c r="B18" s="495"/>
      <c r="C18" s="495"/>
      <c r="D18" s="495"/>
      <c r="E18" s="495"/>
      <c r="F18" s="495"/>
      <c r="G18" s="450"/>
      <c r="H18" s="457"/>
      <c r="L18"/>
      <c r="M18"/>
      <c r="N18"/>
      <c r="O18"/>
      <c r="P18"/>
      <c r="Q18"/>
      <c r="R18"/>
    </row>
    <row r="19" spans="2:18" ht="21" customHeight="1">
      <c r="B19" s="495"/>
      <c r="C19" s="495"/>
      <c r="D19" s="495"/>
      <c r="E19" s="495"/>
      <c r="F19" s="495"/>
      <c r="G19" s="450"/>
      <c r="H19" s="457"/>
      <c r="L19"/>
      <c r="M19"/>
      <c r="N19"/>
      <c r="O19"/>
      <c r="P19"/>
      <c r="Q19"/>
      <c r="R19"/>
    </row>
    <row r="20" spans="2:18" ht="21" customHeight="1">
      <c r="B20" s="495"/>
      <c r="C20" s="495"/>
      <c r="D20" s="495"/>
      <c r="E20" s="495"/>
      <c r="F20" s="495"/>
      <c r="G20" s="450"/>
      <c r="H20" s="457"/>
      <c r="L20"/>
      <c r="M20"/>
      <c r="N20"/>
      <c r="O20"/>
      <c r="P20"/>
      <c r="Q20"/>
      <c r="R20"/>
    </row>
    <row r="21" spans="2:18" ht="21" customHeight="1">
      <c r="B21" s="495"/>
      <c r="C21" s="495"/>
      <c r="D21" s="495"/>
      <c r="E21" s="495"/>
      <c r="F21" s="495"/>
      <c r="G21" s="450"/>
      <c r="H21" s="457"/>
      <c r="L21"/>
      <c r="M21"/>
      <c r="N21"/>
      <c r="O21"/>
      <c r="P21"/>
      <c r="Q21"/>
      <c r="R21"/>
    </row>
    <row r="22" spans="2:18" ht="21" customHeight="1">
      <c r="B22" s="495"/>
      <c r="C22" s="495"/>
      <c r="D22" s="495"/>
      <c r="E22" s="495"/>
      <c r="F22" s="495"/>
      <c r="G22" s="450"/>
      <c r="H22" s="457"/>
      <c r="L22"/>
      <c r="M22"/>
      <c r="N22"/>
      <c r="O22"/>
      <c r="P22"/>
      <c r="Q22"/>
      <c r="R22"/>
    </row>
    <row r="23" spans="2:18" ht="21" customHeight="1">
      <c r="B23" s="495"/>
      <c r="C23" s="495"/>
      <c r="D23" s="495"/>
      <c r="E23" s="495"/>
      <c r="F23" s="495"/>
      <c r="G23" s="450"/>
      <c r="H23" s="457"/>
      <c r="L23"/>
      <c r="M23"/>
      <c r="N23"/>
      <c r="O23"/>
      <c r="P23"/>
      <c r="Q23"/>
      <c r="R23"/>
    </row>
    <row r="24" spans="2:18" ht="21" customHeight="1">
      <c r="B24" s="495"/>
      <c r="C24" s="495"/>
      <c r="D24" s="495"/>
      <c r="E24" s="495"/>
      <c r="F24" s="495"/>
      <c r="G24" s="450"/>
      <c r="H24" s="457"/>
      <c r="L24"/>
      <c r="M24"/>
      <c r="N24"/>
      <c r="O24"/>
      <c r="P24"/>
      <c r="Q24"/>
      <c r="R24"/>
    </row>
    <row r="25" spans="2:18" ht="21" customHeight="1">
      <c r="B25" s="495"/>
      <c r="C25" s="495"/>
      <c r="D25" s="495"/>
      <c r="E25" s="495"/>
      <c r="F25" s="495"/>
      <c r="G25" s="450"/>
      <c r="H25" s="457"/>
      <c r="L25"/>
      <c r="M25"/>
      <c r="N25"/>
      <c r="O25"/>
      <c r="P25"/>
      <c r="Q25"/>
      <c r="R25"/>
    </row>
    <row r="26" spans="2:18" ht="21" customHeight="1">
      <c r="B26" s="495"/>
      <c r="C26" s="495"/>
      <c r="D26" s="495"/>
      <c r="E26" s="495"/>
      <c r="F26" s="495"/>
      <c r="G26" s="450"/>
      <c r="H26" s="457"/>
      <c r="L26"/>
      <c r="M26"/>
      <c r="N26"/>
      <c r="O26"/>
      <c r="P26"/>
      <c r="Q26"/>
      <c r="R26"/>
    </row>
    <row r="27" spans="2:18" ht="21" customHeight="1">
      <c r="B27" s="495"/>
      <c r="C27" s="495"/>
      <c r="D27" s="495"/>
      <c r="E27" s="495"/>
      <c r="F27" s="495"/>
      <c r="G27" s="450"/>
      <c r="H27" s="457"/>
      <c r="L27"/>
      <c r="M27"/>
      <c r="N27"/>
      <c r="O27"/>
      <c r="P27"/>
      <c r="Q27"/>
      <c r="R27"/>
    </row>
    <row r="28" spans="2:18" ht="21" customHeight="1">
      <c r="B28" s="495"/>
      <c r="C28" s="495"/>
      <c r="D28" s="495"/>
      <c r="E28" s="495"/>
      <c r="F28" s="495"/>
      <c r="G28" s="450"/>
      <c r="H28" s="457"/>
    </row>
    <row r="29" spans="2:18" ht="21" customHeight="1">
      <c r="B29" s="495"/>
      <c r="C29" s="495"/>
      <c r="D29" s="495"/>
      <c r="E29" s="495"/>
      <c r="F29" s="495"/>
      <c r="G29" s="450"/>
      <c r="H29" s="457"/>
    </row>
    <row r="30" spans="2:18" ht="21" customHeight="1">
      <c r="B30" s="495"/>
      <c r="C30" s="495"/>
      <c r="D30" s="495"/>
      <c r="E30" s="495"/>
      <c r="F30" s="495"/>
      <c r="G30" s="450"/>
      <c r="H30" s="457"/>
    </row>
    <row r="31" spans="2:18" ht="21" customHeight="1">
      <c r="B31" s="495"/>
      <c r="C31" s="495"/>
      <c r="D31" s="495"/>
      <c r="E31" s="495"/>
      <c r="F31" s="495"/>
      <c r="G31" s="450"/>
      <c r="H31" s="457"/>
    </row>
    <row r="32" spans="2:18" ht="21" customHeight="1">
      <c r="B32" s="495"/>
      <c r="C32" s="495"/>
      <c r="D32" s="495"/>
      <c r="E32" s="495"/>
      <c r="F32" s="495"/>
      <c r="G32" s="450"/>
      <c r="H32" s="457"/>
    </row>
    <row r="33" spans="2:8" ht="21" customHeight="1">
      <c r="B33" s="495"/>
      <c r="C33" s="495"/>
      <c r="D33" s="495"/>
      <c r="E33" s="495"/>
      <c r="F33" s="495"/>
      <c r="G33" s="450"/>
      <c r="H33" s="457"/>
    </row>
    <row r="34" spans="2:8" ht="21" customHeight="1">
      <c r="B34" s="495"/>
      <c r="C34" s="495"/>
      <c r="D34" s="495"/>
      <c r="E34" s="495"/>
      <c r="F34" s="495"/>
      <c r="G34" s="450"/>
      <c r="H34" s="457"/>
    </row>
    <row r="35" spans="2:8" ht="21" customHeight="1">
      <c r="B35" s="495"/>
      <c r="C35" s="495"/>
      <c r="D35" s="495"/>
      <c r="E35" s="495"/>
      <c r="F35" s="495"/>
      <c r="G35" s="450"/>
      <c r="H35" s="457"/>
    </row>
    <row r="36" spans="2:8" ht="21" customHeight="1">
      <c r="B36" s="495"/>
      <c r="C36" s="495"/>
      <c r="D36" s="495"/>
      <c r="E36" s="495"/>
      <c r="F36" s="495"/>
      <c r="G36" s="450"/>
      <c r="H36" s="457"/>
    </row>
    <row r="37" spans="2:8" ht="21" customHeight="1">
      <c r="B37" s="495"/>
      <c r="C37" s="495"/>
      <c r="D37" s="495"/>
      <c r="E37" s="495"/>
      <c r="F37" s="495"/>
      <c r="G37" s="450"/>
      <c r="H37" s="457"/>
    </row>
    <row r="38" spans="2:8" ht="21" customHeight="1">
      <c r="B38" s="788" t="s">
        <v>3200</v>
      </c>
      <c r="C38" s="788"/>
      <c r="D38" s="788"/>
      <c r="E38" s="788"/>
      <c r="F38" s="788"/>
      <c r="G38" s="789"/>
      <c r="H38" s="781">
        <f>+'51-Utility1'!G23</f>
        <v>0</v>
      </c>
    </row>
    <row r="39" spans="2:8" ht="21" customHeight="1">
      <c r="B39" s="788" t="s">
        <v>3201</v>
      </c>
      <c r="C39" s="788"/>
      <c r="D39" s="788"/>
      <c r="E39" s="788"/>
      <c r="F39" s="788"/>
      <c r="G39" s="789"/>
      <c r="H39" s="781">
        <f>+'49-Utility1'!G11</f>
        <v>0</v>
      </c>
    </row>
    <row r="40" spans="2:8" ht="21" customHeight="1">
      <c r="B40" s="788" t="s">
        <v>797</v>
      </c>
      <c r="C40" s="788"/>
      <c r="D40" s="788"/>
      <c r="E40" s="788"/>
      <c r="F40" s="788"/>
      <c r="G40" s="789"/>
      <c r="H40" s="781">
        <f>'43-Utility1'!L20</f>
        <v>0</v>
      </c>
    </row>
    <row r="41" spans="2:8" ht="21" customHeight="1">
      <c r="B41" s="495"/>
      <c r="C41" s="495"/>
      <c r="D41" s="495"/>
      <c r="E41" s="495"/>
      <c r="F41" s="495"/>
      <c r="G41" s="450"/>
      <c r="H41" s="457"/>
    </row>
    <row r="42" spans="2:8" ht="21" customHeight="1">
      <c r="B42" s="495"/>
      <c r="C42" s="495"/>
      <c r="D42" s="495"/>
      <c r="E42" s="495"/>
      <c r="F42" s="495"/>
      <c r="G42" s="450"/>
      <c r="H42" s="457"/>
    </row>
    <row r="43" spans="2:8" ht="21" customHeight="1">
      <c r="B43" s="248" t="s">
        <v>798</v>
      </c>
      <c r="C43" s="248"/>
      <c r="D43" s="248"/>
      <c r="E43" s="248"/>
      <c r="F43" s="248"/>
      <c r="G43" s="767">
        <f>SUM(G11:G42)</f>
        <v>0</v>
      </c>
      <c r="H43" s="790">
        <f>SUM(H11:H42)</f>
        <v>0</v>
      </c>
    </row>
    <row r="44" spans="2:8">
      <c r="B44" s="1352" t="s">
        <v>98</v>
      </c>
      <c r="C44" s="1352"/>
      <c r="D44" s="1352"/>
      <c r="E44" s="1352"/>
      <c r="F44" s="1352"/>
      <c r="G44" s="1352"/>
      <c r="H44" s="1352"/>
    </row>
    <row r="45" spans="2:8">
      <c r="B45" s="302"/>
      <c r="C45" s="302"/>
      <c r="D45" s="302"/>
      <c r="E45" s="302"/>
      <c r="F45" s="302"/>
      <c r="G45" s="302"/>
      <c r="H45" s="302"/>
    </row>
    <row r="46" spans="2:8">
      <c r="B46" s="302"/>
      <c r="C46" s="302"/>
      <c r="D46" s="302"/>
      <c r="E46" s="302"/>
      <c r="F46" s="302"/>
      <c r="G46" s="302"/>
      <c r="H46" s="302"/>
    </row>
    <row r="47" spans="2:8">
      <c r="B47" s="302"/>
      <c r="C47" s="302"/>
      <c r="D47" s="302"/>
      <c r="E47" s="302"/>
      <c r="F47" s="302"/>
      <c r="G47" s="302"/>
      <c r="H47" s="302"/>
    </row>
    <row r="48" spans="2:8">
      <c r="B48" s="302"/>
      <c r="C48" s="302"/>
      <c r="D48" s="302"/>
      <c r="E48" s="302"/>
      <c r="F48" s="302"/>
      <c r="G48" s="302"/>
      <c r="H48" s="302"/>
    </row>
    <row r="49" spans="2:8" ht="13.8">
      <c r="B49" s="1353" t="s">
        <v>3140</v>
      </c>
      <c r="C49" s="1353"/>
      <c r="D49" s="1353"/>
      <c r="E49" s="1353"/>
      <c r="F49" s="1353"/>
      <c r="G49" s="1353"/>
      <c r="H49" s="1353"/>
    </row>
  </sheetData>
  <sheetProtection algorithmName="SHA-512" hashValue="1a3VYNUxRN/RtRBMB3Aw0O7fqG7eA5q/kxSrMuD0Vh31lv4IboHNXzQG4j9uGmULaoEf2buX90ljBnibtgmOpg==" saltValue="xYLqpv5Eu3AB6nrmwagIsQ==" spinCount="100000" sheet="1" objects="1" scenarios="1"/>
  <mergeCells count="9">
    <mergeCell ref="B49:H49"/>
    <mergeCell ref="B6:H6"/>
    <mergeCell ref="B7:H7"/>
    <mergeCell ref="B3:H3"/>
    <mergeCell ref="B4:H4"/>
    <mergeCell ref="B5:H5"/>
    <mergeCell ref="B9:H9"/>
    <mergeCell ref="B10:F10"/>
    <mergeCell ref="B44:H44"/>
  </mergeCells>
  <pageMargins left="0.25" right="0.25" top="0.5" bottom="0.5" header="0.25" footer="0.25"/>
  <pageSetup paperSize="5"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F69E6-3CC2-424C-AA22-A38BA0B375F5}">
  <sheetPr codeName="Sheet159">
    <tabColor theme="6" tint="0.39997558519241921"/>
  </sheetPr>
  <dimension ref="A2:V27"/>
  <sheetViews>
    <sheetView zoomScaleNormal="100" zoomScaleSheetLayoutView="80" workbookViewId="0">
      <selection activeCell="L7" sqref="L7"/>
    </sheetView>
  </sheetViews>
  <sheetFormatPr defaultColWidth="9.109375" defaultRowHeight="13.2"/>
  <cols>
    <col min="1" max="1" width="5.6640625" style="267" customWidth="1"/>
    <col min="2" max="3" width="4.88671875" style="267" customWidth="1"/>
    <col min="4" max="4" width="30.6640625" style="267" customWidth="1"/>
    <col min="5" max="12" width="15.6640625" style="267" customWidth="1"/>
    <col min="13" max="16384" width="9.109375" style="267"/>
  </cols>
  <sheetData>
    <row r="2" spans="1:22" ht="20.399999999999999">
      <c r="B2" s="1363" t="str">
        <f>"ANALYSIS  OF "&amp;UPPER('KEY INPUTS'!D54)&amp;" UTILITY  ASSESSMENT  TRUST  CASH  AND  INVESTMENTS"</f>
        <v>ANALYSIS  OF WATER UTILITY  ASSESSMENT  TRUST  CASH  AND  INVESTMENTS</v>
      </c>
      <c r="C2" s="1363"/>
      <c r="D2" s="1363"/>
      <c r="E2" s="1363"/>
      <c r="F2" s="1363"/>
      <c r="G2" s="1363"/>
      <c r="H2" s="1363"/>
      <c r="I2" s="1363"/>
      <c r="J2" s="1363"/>
      <c r="K2" s="1363"/>
      <c r="L2" s="1363"/>
    </row>
    <row r="3" spans="1:22" ht="21" thickBot="1">
      <c r="B3" s="1363" t="s">
        <v>830</v>
      </c>
      <c r="C3" s="1363"/>
      <c r="D3" s="1363"/>
      <c r="E3" s="1363"/>
      <c r="F3" s="1363"/>
      <c r="G3" s="1363"/>
      <c r="H3" s="1363"/>
      <c r="I3" s="1363"/>
      <c r="J3" s="1363"/>
      <c r="K3" s="1363"/>
      <c r="L3" s="1363"/>
    </row>
    <row r="4" spans="1:22" ht="13.8" thickTop="1">
      <c r="B4" s="323"/>
      <c r="C4" s="323"/>
      <c r="D4" s="323"/>
      <c r="E4" s="324" t="s">
        <v>528</v>
      </c>
      <c r="F4" s="323"/>
      <c r="G4" s="323"/>
      <c r="H4" s="323"/>
      <c r="I4" s="323"/>
      <c r="J4" s="791"/>
      <c r="K4" s="323"/>
      <c r="L4" s="322"/>
    </row>
    <row r="5" spans="1:22" ht="15.6">
      <c r="C5" s="267" t="s">
        <v>536</v>
      </c>
      <c r="E5" s="320" t="s">
        <v>529</v>
      </c>
      <c r="F5" s="1364" t="s">
        <v>530</v>
      </c>
      <c r="G5" s="1365"/>
      <c r="H5" s="1365"/>
      <c r="I5" s="1366"/>
      <c r="J5" s="792"/>
      <c r="L5" s="321" t="s">
        <v>529</v>
      </c>
    </row>
    <row r="6" spans="1:22">
      <c r="C6" s="267" t="s">
        <v>537</v>
      </c>
      <c r="E6" s="793" t="str">
        <f>IF('KEY INPUTS'!C42 = "State Fiscal Year", 'KEY INPUTS'!F46,'KEY INPUTS'!D46)</f>
        <v>Dec. 31, 2023</v>
      </c>
      <c r="F6" s="320" t="s">
        <v>531</v>
      </c>
      <c r="G6" s="320" t="s">
        <v>248</v>
      </c>
      <c r="H6" s="792"/>
      <c r="I6" s="792"/>
      <c r="J6" s="792"/>
      <c r="K6" s="319" t="s">
        <v>535</v>
      </c>
      <c r="L6" s="794" t="str">
        <f>IF('KEY INPUTS'!C42 = "State Fiscal Year", 'KEY INPUTS'!F47,'KEY INPUTS'!D47)</f>
        <v>Dec. 31, 2024</v>
      </c>
    </row>
    <row r="7" spans="1:22" ht="13.8" thickBot="1">
      <c r="B7" s="318"/>
      <c r="C7" s="318"/>
      <c r="D7" s="318"/>
      <c r="E7" s="316"/>
      <c r="F7" s="317" t="s">
        <v>532</v>
      </c>
      <c r="G7" s="317" t="s">
        <v>534</v>
      </c>
      <c r="H7" s="316"/>
      <c r="I7" s="316"/>
      <c r="J7" s="316"/>
      <c r="K7" s="315"/>
      <c r="L7" s="314"/>
    </row>
    <row r="8" spans="1:22" ht="21" customHeight="1" thickTop="1">
      <c r="B8" s="313" t="s">
        <v>621</v>
      </c>
      <c r="C8" s="313"/>
      <c r="D8" s="795"/>
      <c r="E8" s="757" t="s">
        <v>627</v>
      </c>
      <c r="F8" s="757" t="s">
        <v>627</v>
      </c>
      <c r="G8" s="757" t="s">
        <v>627</v>
      </c>
      <c r="H8" s="757" t="s">
        <v>627</v>
      </c>
      <c r="I8" s="757" t="s">
        <v>627</v>
      </c>
      <c r="J8" s="757" t="s">
        <v>627</v>
      </c>
      <c r="K8" s="757" t="s">
        <v>627</v>
      </c>
      <c r="L8" s="641" t="s">
        <v>627</v>
      </c>
      <c r="P8"/>
      <c r="Q8"/>
      <c r="R8"/>
      <c r="S8"/>
      <c r="T8"/>
      <c r="U8"/>
      <c r="V8"/>
    </row>
    <row r="9" spans="1:22" ht="21" customHeight="1">
      <c r="B9" s="495"/>
      <c r="C9" s="495"/>
      <c r="D9" s="499"/>
      <c r="E9" s="450"/>
      <c r="F9" s="450"/>
      <c r="G9" s="450"/>
      <c r="H9" s="450"/>
      <c r="I9" s="450"/>
      <c r="J9" s="450"/>
      <c r="K9" s="450"/>
      <c r="L9" s="753">
        <f>+E9+F9+G9+H9+I9+J9-K9</f>
        <v>0</v>
      </c>
      <c r="P9"/>
      <c r="Q9"/>
      <c r="R9"/>
      <c r="S9"/>
      <c r="T9"/>
      <c r="U9"/>
      <c r="V9"/>
    </row>
    <row r="10" spans="1:22" ht="21" customHeight="1">
      <c r="B10" s="495"/>
      <c r="C10" s="495"/>
      <c r="D10" s="499"/>
      <c r="E10" s="450"/>
      <c r="F10" s="450"/>
      <c r="G10" s="450"/>
      <c r="H10" s="450"/>
      <c r="I10" s="450"/>
      <c r="J10" s="450"/>
      <c r="K10" s="450"/>
      <c r="L10" s="753">
        <f t="shared" ref="L10:L25" si="0">+E10+F10+G10+H10+I10+J10-K10</f>
        <v>0</v>
      </c>
      <c r="P10" s="294"/>
      <c r="Q10"/>
      <c r="R10"/>
      <c r="S10"/>
      <c r="T10"/>
      <c r="U10"/>
      <c r="V10"/>
    </row>
    <row r="11" spans="1:22" ht="21" customHeight="1">
      <c r="B11" s="495"/>
      <c r="C11" s="495"/>
      <c r="D11" s="499"/>
      <c r="E11" s="450"/>
      <c r="F11" s="450"/>
      <c r="G11" s="450"/>
      <c r="H11" s="450"/>
      <c r="I11" s="450"/>
      <c r="J11" s="450"/>
      <c r="K11" s="450"/>
      <c r="L11" s="753">
        <f t="shared" si="0"/>
        <v>0</v>
      </c>
      <c r="P11"/>
      <c r="Q11"/>
      <c r="R11"/>
      <c r="S11"/>
      <c r="T11"/>
      <c r="U11"/>
      <c r="V11"/>
    </row>
    <row r="12" spans="1:22" ht="21" customHeight="1">
      <c r="B12" s="495"/>
      <c r="C12" s="495"/>
      <c r="D12" s="499"/>
      <c r="E12" s="450"/>
      <c r="F12" s="450"/>
      <c r="G12" s="450"/>
      <c r="H12" s="450"/>
      <c r="I12" s="450"/>
      <c r="J12" s="450"/>
      <c r="K12" s="450"/>
      <c r="L12" s="753">
        <f t="shared" si="0"/>
        <v>0</v>
      </c>
      <c r="P12"/>
      <c r="Q12"/>
      <c r="R12"/>
      <c r="S12"/>
      <c r="T12"/>
      <c r="U12"/>
      <c r="V12"/>
    </row>
    <row r="13" spans="1:22" ht="21" customHeight="1">
      <c r="B13" s="495"/>
      <c r="C13" s="495"/>
      <c r="D13" s="499"/>
      <c r="E13" s="453"/>
      <c r="F13" s="450"/>
      <c r="G13" s="450"/>
      <c r="H13" s="450"/>
      <c r="I13" s="450"/>
      <c r="J13" s="450"/>
      <c r="K13" s="450"/>
      <c r="L13" s="753">
        <f t="shared" si="0"/>
        <v>0</v>
      </c>
      <c r="P13"/>
      <c r="Q13"/>
      <c r="R13"/>
      <c r="S13"/>
      <c r="T13"/>
      <c r="U13"/>
      <c r="V13"/>
    </row>
    <row r="14" spans="1:22" ht="21" customHeight="1">
      <c r="B14" s="248" t="s">
        <v>622</v>
      </c>
      <c r="C14" s="248"/>
      <c r="D14" s="312"/>
      <c r="E14" s="702" t="s">
        <v>627</v>
      </c>
      <c r="F14" s="702" t="s">
        <v>627</v>
      </c>
      <c r="G14" s="702" t="s">
        <v>627</v>
      </c>
      <c r="H14" s="702" t="s">
        <v>627</v>
      </c>
      <c r="I14" s="702" t="s">
        <v>627</v>
      </c>
      <c r="J14" s="702" t="s">
        <v>627</v>
      </c>
      <c r="K14" s="702" t="s">
        <v>627</v>
      </c>
      <c r="L14" s="643" t="s">
        <v>627</v>
      </c>
      <c r="P14"/>
      <c r="Q14"/>
      <c r="R14"/>
      <c r="S14"/>
      <c r="T14"/>
      <c r="U14"/>
      <c r="V14"/>
    </row>
    <row r="15" spans="1:22" ht="21" customHeight="1">
      <c r="A15" s="1367" t="s">
        <v>3141</v>
      </c>
      <c r="B15" s="495"/>
      <c r="C15" s="495"/>
      <c r="D15" s="499"/>
      <c r="E15" s="450"/>
      <c r="F15" s="450"/>
      <c r="G15" s="450"/>
      <c r="H15" s="450"/>
      <c r="I15" s="450"/>
      <c r="J15" s="450"/>
      <c r="K15" s="450"/>
      <c r="L15" s="753">
        <f t="shared" si="0"/>
        <v>0</v>
      </c>
      <c r="P15"/>
      <c r="Q15"/>
      <c r="R15"/>
      <c r="S15"/>
      <c r="T15"/>
      <c r="U15"/>
      <c r="V15"/>
    </row>
    <row r="16" spans="1:22" ht="21" customHeight="1">
      <c r="A16" s="1367"/>
      <c r="B16" s="495"/>
      <c r="C16" s="495"/>
      <c r="D16" s="499"/>
      <c r="E16" s="450"/>
      <c r="F16" s="450"/>
      <c r="G16" s="450"/>
      <c r="H16" s="450"/>
      <c r="I16" s="450"/>
      <c r="J16" s="450"/>
      <c r="K16" s="450"/>
      <c r="L16" s="753">
        <f t="shared" si="0"/>
        <v>0</v>
      </c>
      <c r="P16"/>
      <c r="Q16"/>
      <c r="R16"/>
      <c r="S16"/>
      <c r="T16"/>
      <c r="U16"/>
      <c r="V16"/>
    </row>
    <row r="17" spans="1:22" ht="21" customHeight="1">
      <c r="A17" s="1367"/>
      <c r="B17" s="495"/>
      <c r="C17" s="495"/>
      <c r="D17" s="499"/>
      <c r="E17" s="450"/>
      <c r="F17" s="450"/>
      <c r="G17" s="450"/>
      <c r="H17" s="450"/>
      <c r="I17" s="450"/>
      <c r="J17" s="450"/>
      <c r="K17" s="450"/>
      <c r="L17" s="753">
        <f t="shared" si="0"/>
        <v>0</v>
      </c>
      <c r="P17"/>
      <c r="Q17"/>
      <c r="R17"/>
      <c r="S17"/>
      <c r="T17"/>
      <c r="U17"/>
      <c r="V17"/>
    </row>
    <row r="18" spans="1:22" ht="21" customHeight="1">
      <c r="B18" s="495"/>
      <c r="C18" s="495"/>
      <c r="D18" s="499"/>
      <c r="E18" s="450"/>
      <c r="F18" s="450"/>
      <c r="G18" s="450"/>
      <c r="H18" s="450"/>
      <c r="I18" s="450"/>
      <c r="J18" s="450"/>
      <c r="K18" s="450"/>
      <c r="L18" s="753">
        <f t="shared" si="0"/>
        <v>0</v>
      </c>
      <c r="P18"/>
      <c r="Q18"/>
      <c r="R18"/>
      <c r="S18"/>
      <c r="T18"/>
      <c r="U18"/>
      <c r="V18"/>
    </row>
    <row r="19" spans="1:22" ht="21" customHeight="1">
      <c r="B19" s="248" t="s">
        <v>623</v>
      </c>
      <c r="C19" s="248"/>
      <c r="D19" s="312"/>
      <c r="E19" s="450"/>
      <c r="F19" s="450"/>
      <c r="G19" s="450"/>
      <c r="H19" s="450"/>
      <c r="I19" s="450"/>
      <c r="J19" s="450"/>
      <c r="K19" s="450"/>
      <c r="L19" s="753">
        <f t="shared" si="0"/>
        <v>0</v>
      </c>
      <c r="P19"/>
      <c r="Q19"/>
      <c r="R19"/>
      <c r="S19"/>
      <c r="T19"/>
      <c r="U19"/>
      <c r="V19"/>
    </row>
    <row r="20" spans="1:22" ht="21" customHeight="1">
      <c r="B20" s="248" t="s">
        <v>624</v>
      </c>
      <c r="C20" s="248"/>
      <c r="D20" s="312"/>
      <c r="E20" s="450"/>
      <c r="F20" s="450"/>
      <c r="G20" s="450"/>
      <c r="H20" s="450"/>
      <c r="I20" s="450"/>
      <c r="J20" s="450"/>
      <c r="K20" s="450"/>
      <c r="L20" s="753">
        <f t="shared" si="0"/>
        <v>0</v>
      </c>
      <c r="P20"/>
      <c r="Q20"/>
      <c r="R20"/>
      <c r="S20"/>
      <c r="T20"/>
      <c r="U20"/>
      <c r="V20"/>
    </row>
    <row r="21" spans="1:22" ht="21" customHeight="1">
      <c r="B21" s="248" t="s">
        <v>249</v>
      </c>
      <c r="C21" s="248"/>
      <c r="D21" s="312"/>
      <c r="E21" s="702" t="s">
        <v>627</v>
      </c>
      <c r="F21" s="702" t="s">
        <v>627</v>
      </c>
      <c r="G21" s="702" t="s">
        <v>627</v>
      </c>
      <c r="H21" s="702" t="s">
        <v>627</v>
      </c>
      <c r="I21" s="702" t="s">
        <v>627</v>
      </c>
      <c r="J21" s="702" t="s">
        <v>627</v>
      </c>
      <c r="K21" s="702" t="s">
        <v>627</v>
      </c>
      <c r="L21" s="643" t="s">
        <v>627</v>
      </c>
      <c r="P21"/>
      <c r="Q21"/>
      <c r="R21"/>
      <c r="S21"/>
      <c r="T21"/>
      <c r="U21"/>
      <c r="V21"/>
    </row>
    <row r="22" spans="1:22" ht="21" customHeight="1">
      <c r="B22" s="495"/>
      <c r="C22" s="495"/>
      <c r="D22" s="499"/>
      <c r="E22" s="450"/>
      <c r="F22" s="450"/>
      <c r="G22" s="450"/>
      <c r="H22" s="450"/>
      <c r="I22" s="450"/>
      <c r="J22" s="450"/>
      <c r="K22" s="450"/>
      <c r="L22" s="753">
        <f t="shared" si="0"/>
        <v>0</v>
      </c>
      <c r="P22"/>
      <c r="Q22"/>
      <c r="R22"/>
      <c r="S22"/>
      <c r="T22"/>
      <c r="U22"/>
      <c r="V22"/>
    </row>
    <row r="23" spans="1:22" ht="21" customHeight="1">
      <c r="B23" s="495"/>
      <c r="C23" s="495"/>
      <c r="D23" s="499"/>
      <c r="E23" s="450"/>
      <c r="F23" s="450"/>
      <c r="G23" s="450"/>
      <c r="H23" s="450"/>
      <c r="I23" s="450"/>
      <c r="J23" s="450"/>
      <c r="K23" s="450"/>
      <c r="L23" s="753">
        <f t="shared" si="0"/>
        <v>0</v>
      </c>
      <c r="P23"/>
      <c r="Q23"/>
      <c r="R23"/>
      <c r="S23"/>
      <c r="T23"/>
      <c r="U23"/>
      <c r="V23"/>
    </row>
    <row r="24" spans="1:22" ht="21" customHeight="1">
      <c r="B24" s="495"/>
      <c r="C24" s="495"/>
      <c r="D24" s="499"/>
      <c r="E24" s="450"/>
      <c r="F24" s="450"/>
      <c r="G24" s="450"/>
      <c r="H24" s="450"/>
      <c r="I24" s="450"/>
      <c r="J24" s="450"/>
      <c r="K24" s="450"/>
      <c r="L24" s="753">
        <f t="shared" si="0"/>
        <v>0</v>
      </c>
      <c r="P24"/>
      <c r="Q24"/>
      <c r="R24"/>
      <c r="S24"/>
      <c r="T24"/>
      <c r="U24"/>
      <c r="V24"/>
    </row>
    <row r="25" spans="1:22" ht="21" customHeight="1" thickBot="1">
      <c r="B25" s="495"/>
      <c r="C25" s="495"/>
      <c r="D25" s="499"/>
      <c r="E25" s="475"/>
      <c r="F25" s="475"/>
      <c r="G25" s="475"/>
      <c r="H25" s="475"/>
      <c r="I25" s="475"/>
      <c r="J25" s="475"/>
      <c r="K25" s="475"/>
      <c r="L25" s="796">
        <f t="shared" si="0"/>
        <v>0</v>
      </c>
    </row>
    <row r="26" spans="1:22" ht="21" customHeight="1" thickTop="1" thickBot="1">
      <c r="B26" s="311"/>
      <c r="C26" s="311"/>
      <c r="D26" s="310"/>
      <c r="E26" s="755">
        <f t="shared" ref="E26:K26" si="1">SUM(E9:E25)</f>
        <v>0</v>
      </c>
      <c r="F26" s="755">
        <f t="shared" si="1"/>
        <v>0</v>
      </c>
      <c r="G26" s="755">
        <f t="shared" si="1"/>
        <v>0</v>
      </c>
      <c r="H26" s="755">
        <f t="shared" si="1"/>
        <v>0</v>
      </c>
      <c r="I26" s="755">
        <f t="shared" si="1"/>
        <v>0</v>
      </c>
      <c r="J26" s="755">
        <f t="shared" si="1"/>
        <v>0</v>
      </c>
      <c r="K26" s="755">
        <f t="shared" si="1"/>
        <v>0</v>
      </c>
      <c r="L26" s="797">
        <f>SUM(L9:L25)</f>
        <v>0</v>
      </c>
    </row>
    <row r="27" spans="1:22" ht="13.8" thickTop="1">
      <c r="B27" s="309" t="s">
        <v>626</v>
      </c>
    </row>
  </sheetData>
  <sheetProtection algorithmName="SHA-512" hashValue="9N434MiEmAM0BnSAm7lB6i4lPCSXWdUsm0agz9xOPJ10UB4Vb15GwwZsKmfzM3d6h0W7c5oA0Is00rAHPNiUDg==" saltValue="LssjEeHTgLRvI8cUYpHppw==" spinCount="100000"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14C3E-CBB4-486B-B834-460F9F77DEB4}">
  <sheetPr codeName="Sheet160">
    <tabColor theme="6" tint="0.39997558519241921"/>
  </sheetPr>
  <dimension ref="B2:T55"/>
  <sheetViews>
    <sheetView topLeftCell="A16" zoomScaleNormal="100" zoomScaleSheetLayoutView="80" workbookViewId="0">
      <selection activeCell="I38" sqref="I38"/>
    </sheetView>
  </sheetViews>
  <sheetFormatPr defaultColWidth="8.88671875" defaultRowHeight="13.2"/>
  <cols>
    <col min="1" max="1" width="4.6640625" style="267" customWidth="1"/>
    <col min="2" max="3" width="3.6640625" style="267" customWidth="1"/>
    <col min="4" max="4" width="4.6640625" style="267" customWidth="1"/>
    <col min="5" max="5" width="8.88671875" style="267"/>
    <col min="6" max="6" width="16.6640625" style="267" customWidth="1"/>
    <col min="7" max="7" width="8.6640625" style="267" customWidth="1"/>
    <col min="8" max="10" width="16.6640625" style="267" customWidth="1"/>
    <col min="11" max="11" width="8.88671875" style="267"/>
    <col min="12" max="12" width="11.33203125" style="267" bestFit="1" customWidth="1"/>
    <col min="13" max="16384" width="8.88671875" style="267"/>
  </cols>
  <sheetData>
    <row r="2" spans="2:20" ht="22.8">
      <c r="B2" s="1358" t="str">
        <f>"SCHEDULE OF "&amp;UPPER('KEY INPUTS'!D54)&amp;" UTILITY BUDGET  -  "&amp;IF('KEY INPUTS'!C42="State Fiscal Year","FY "&amp;'KEY INPUTS'!D33&amp;"",'KEY INPUTS'!D34)&amp;""</f>
        <v>SCHEDULE OF WATER UTILITY BUDGET  -  2024</v>
      </c>
      <c r="C2" s="1358"/>
      <c r="D2" s="1358"/>
      <c r="E2" s="1358"/>
      <c r="F2" s="1358"/>
      <c r="G2" s="1358"/>
      <c r="H2" s="1358"/>
      <c r="I2" s="1358"/>
      <c r="J2" s="1358"/>
    </row>
    <row r="3" spans="2:20" ht="12" customHeight="1">
      <c r="B3" s="354"/>
      <c r="C3" s="354"/>
      <c r="D3" s="354"/>
      <c r="E3" s="354"/>
      <c r="F3" s="354"/>
      <c r="G3" s="354"/>
      <c r="H3" s="354"/>
      <c r="I3" s="354"/>
      <c r="J3" s="354"/>
    </row>
    <row r="4" spans="2:20" ht="17.25" customHeight="1" thickBot="1">
      <c r="B4" s="1372" t="s">
        <v>831</v>
      </c>
      <c r="C4" s="1372"/>
      <c r="D4" s="1372"/>
      <c r="E4" s="1372"/>
      <c r="F4" s="1372"/>
      <c r="G4" s="1372"/>
      <c r="H4" s="1372"/>
      <c r="I4" s="1372"/>
      <c r="J4" s="1372"/>
    </row>
    <row r="5" spans="2:20" ht="13.8" thickTop="1">
      <c r="B5" s="1368" t="s">
        <v>165</v>
      </c>
      <c r="C5" s="1368"/>
      <c r="D5" s="1368"/>
      <c r="E5" s="1368"/>
      <c r="F5" s="1368"/>
      <c r="G5" s="1369"/>
      <c r="H5" s="324" t="s">
        <v>534</v>
      </c>
      <c r="I5" s="324" t="s">
        <v>637</v>
      </c>
      <c r="J5" s="353" t="s">
        <v>319</v>
      </c>
    </row>
    <row r="6" spans="2:20" ht="13.8" thickBot="1">
      <c r="B6" s="1370"/>
      <c r="C6" s="1370"/>
      <c r="D6" s="1370"/>
      <c r="E6" s="1370"/>
      <c r="F6" s="1370"/>
      <c r="G6" s="1371"/>
      <c r="H6" s="352"/>
      <c r="I6" s="352" t="s">
        <v>318</v>
      </c>
      <c r="J6" s="351" t="s">
        <v>320</v>
      </c>
    </row>
    <row r="7" spans="2:20" ht="21" customHeight="1" thickTop="1">
      <c r="B7" s="313" t="s">
        <v>3154</v>
      </c>
      <c r="C7" s="313"/>
      <c r="D7" s="313"/>
      <c r="E7" s="313"/>
      <c r="F7" s="313"/>
      <c r="G7" s="350"/>
      <c r="H7" s="454"/>
      <c r="I7" s="349">
        <f>H7</f>
        <v>0</v>
      </c>
      <c r="J7" s="348">
        <f>+I7-H7</f>
        <v>0</v>
      </c>
    </row>
    <row r="8" spans="2:20" ht="10.5" customHeight="1">
      <c r="B8" s="309" t="s">
        <v>3153</v>
      </c>
      <c r="G8" s="347"/>
      <c r="H8" s="346"/>
      <c r="I8" s="346"/>
      <c r="J8" s="230"/>
    </row>
    <row r="9" spans="2:20">
      <c r="B9" s="333" t="s">
        <v>168</v>
      </c>
      <c r="C9" s="333"/>
      <c r="D9" s="333"/>
      <c r="E9" s="333"/>
      <c r="F9" s="333"/>
      <c r="G9" s="341"/>
      <c r="H9" s="500"/>
      <c r="I9" s="500"/>
      <c r="J9" s="225">
        <f t="shared" ref="J9:J15" si="0">+I9-H9</f>
        <v>0</v>
      </c>
    </row>
    <row r="10" spans="2:20" ht="21" customHeight="1">
      <c r="B10" s="495" t="s">
        <v>3682</v>
      </c>
      <c r="C10" s="495"/>
      <c r="D10" s="495"/>
      <c r="E10" s="495"/>
      <c r="F10" s="495"/>
      <c r="G10" s="798"/>
      <c r="H10" s="596">
        <v>400000</v>
      </c>
      <c r="I10" s="596">
        <v>465466.71</v>
      </c>
      <c r="J10" s="345">
        <f t="shared" si="0"/>
        <v>65466.710000000021</v>
      </c>
      <c r="N10"/>
      <c r="O10"/>
      <c r="P10"/>
      <c r="Q10"/>
      <c r="R10"/>
      <c r="S10"/>
      <c r="T10"/>
    </row>
    <row r="11" spans="2:20" ht="21" customHeight="1">
      <c r="B11" s="495"/>
      <c r="C11" s="495"/>
      <c r="D11" s="495"/>
      <c r="E11" s="495"/>
      <c r="F11" s="495"/>
      <c r="G11" s="798"/>
      <c r="H11" s="596"/>
      <c r="I11" s="596"/>
      <c r="J11" s="231">
        <f t="shared" si="0"/>
        <v>0</v>
      </c>
      <c r="N11"/>
      <c r="O11"/>
      <c r="P11"/>
      <c r="Q11"/>
      <c r="R11"/>
      <c r="S11"/>
      <c r="T11"/>
    </row>
    <row r="12" spans="2:20" ht="21" customHeight="1">
      <c r="B12" s="495"/>
      <c r="C12" s="495"/>
      <c r="D12" s="495"/>
      <c r="E12" s="495"/>
      <c r="F12" s="495"/>
      <c r="G12" s="798"/>
      <c r="H12" s="596"/>
      <c r="I12" s="596"/>
      <c r="J12" s="231">
        <f t="shared" si="0"/>
        <v>0</v>
      </c>
      <c r="N12" s="294"/>
      <c r="O12"/>
      <c r="P12"/>
      <c r="Q12"/>
      <c r="R12"/>
      <c r="S12"/>
      <c r="T12"/>
    </row>
    <row r="13" spans="2:20" ht="21" customHeight="1">
      <c r="B13" s="495"/>
      <c r="C13" s="495"/>
      <c r="D13" s="495"/>
      <c r="E13" s="495"/>
      <c r="F13" s="495"/>
      <c r="G13" s="798"/>
      <c r="H13" s="596"/>
      <c r="I13" s="596"/>
      <c r="J13" s="231">
        <f t="shared" si="0"/>
        <v>0</v>
      </c>
      <c r="N13"/>
      <c r="O13"/>
      <c r="P13"/>
      <c r="Q13"/>
      <c r="R13"/>
      <c r="S13"/>
      <c r="T13"/>
    </row>
    <row r="14" spans="2:20" ht="21" customHeight="1">
      <c r="B14" s="495"/>
      <c r="C14" s="495"/>
      <c r="D14" s="495"/>
      <c r="E14" s="495"/>
      <c r="F14" s="495"/>
      <c r="G14" s="798"/>
      <c r="H14" s="596"/>
      <c r="I14" s="596"/>
      <c r="J14" s="231">
        <f t="shared" si="0"/>
        <v>0</v>
      </c>
      <c r="N14"/>
      <c r="O14"/>
      <c r="P14"/>
      <c r="Q14"/>
      <c r="R14"/>
      <c r="S14"/>
      <c r="T14"/>
    </row>
    <row r="15" spans="2:20" ht="21" customHeight="1">
      <c r="B15" s="248" t="s">
        <v>3152</v>
      </c>
      <c r="C15" s="248"/>
      <c r="D15" s="248"/>
      <c r="E15" s="248"/>
      <c r="F15" s="248"/>
      <c r="G15" s="341"/>
      <c r="H15" s="596"/>
      <c r="I15" s="596"/>
      <c r="J15" s="231">
        <f t="shared" si="0"/>
        <v>0</v>
      </c>
      <c r="N15"/>
      <c r="O15"/>
      <c r="P15"/>
      <c r="Q15"/>
      <c r="R15"/>
      <c r="S15"/>
      <c r="T15"/>
    </row>
    <row r="16" spans="2:20" ht="21" customHeight="1">
      <c r="B16" s="248" t="s">
        <v>3151</v>
      </c>
      <c r="C16" s="248"/>
      <c r="D16" s="248"/>
      <c r="E16" s="248"/>
      <c r="F16" s="248"/>
      <c r="G16" s="341"/>
      <c r="H16" s="596"/>
      <c r="I16" s="596"/>
      <c r="J16" s="231"/>
      <c r="N16"/>
      <c r="O16"/>
      <c r="P16"/>
      <c r="Q16"/>
      <c r="R16"/>
      <c r="S16"/>
      <c r="T16"/>
    </row>
    <row r="17" spans="2:20" ht="21" customHeight="1">
      <c r="B17" s="248" t="s">
        <v>3570</v>
      </c>
      <c r="C17" s="248"/>
      <c r="D17" s="248"/>
      <c r="E17" s="248"/>
      <c r="F17" s="248"/>
      <c r="G17" s="341"/>
      <c r="H17" s="254" t="s">
        <v>627</v>
      </c>
      <c r="I17" s="254" t="s">
        <v>627</v>
      </c>
      <c r="J17" s="232" t="s">
        <v>627</v>
      </c>
      <c r="N17"/>
      <c r="O17"/>
      <c r="P17"/>
      <c r="Q17"/>
      <c r="R17"/>
      <c r="S17"/>
      <c r="T17"/>
    </row>
    <row r="18" spans="2:20" ht="21" customHeight="1">
      <c r="B18" s="495"/>
      <c r="C18" s="495"/>
      <c r="D18" s="495"/>
      <c r="E18" s="495"/>
      <c r="F18" s="495"/>
      <c r="G18" s="495"/>
      <c r="H18" s="450"/>
      <c r="I18" s="450"/>
      <c r="J18" s="231">
        <f t="shared" ref="J18:J19" si="1">+I18-H18</f>
        <v>0</v>
      </c>
      <c r="N18"/>
      <c r="O18"/>
      <c r="P18"/>
      <c r="Q18"/>
      <c r="R18"/>
      <c r="S18"/>
      <c r="T18"/>
    </row>
    <row r="19" spans="2:20" ht="21" customHeight="1" thickBot="1">
      <c r="B19" s="495"/>
      <c r="C19" s="495"/>
      <c r="D19" s="495"/>
      <c r="E19" s="495"/>
      <c r="F19" s="495"/>
      <c r="G19" s="495"/>
      <c r="H19" s="475"/>
      <c r="I19" s="475"/>
      <c r="J19" s="362">
        <f t="shared" si="1"/>
        <v>0</v>
      </c>
      <c r="N19"/>
      <c r="O19"/>
      <c r="P19"/>
      <c r="Q19"/>
      <c r="R19"/>
      <c r="S19"/>
      <c r="T19"/>
    </row>
    <row r="20" spans="2:20" ht="21" customHeight="1" thickTop="1">
      <c r="B20" s="248"/>
      <c r="C20" s="248"/>
      <c r="D20" s="248" t="s">
        <v>317</v>
      </c>
      <c r="E20" s="248"/>
      <c r="F20" s="248"/>
      <c r="G20" s="344"/>
      <c r="H20" s="343">
        <f>SUM(H7:H19)</f>
        <v>400000</v>
      </c>
      <c r="I20" s="343">
        <f>SUM(I7:I19)</f>
        <v>465466.71</v>
      </c>
      <c r="J20" s="225">
        <f>SUM(J7:J19)</f>
        <v>65466.710000000021</v>
      </c>
      <c r="N20"/>
      <c r="O20"/>
      <c r="P20"/>
      <c r="Q20"/>
      <c r="R20"/>
      <c r="S20"/>
      <c r="T20"/>
    </row>
    <row r="21" spans="2:20" ht="21" customHeight="1" thickBot="1">
      <c r="B21" s="248" t="s">
        <v>3150</v>
      </c>
      <c r="C21" s="342"/>
      <c r="D21" s="342"/>
      <c r="E21" s="248"/>
      <c r="F21" s="248"/>
      <c r="G21" s="341"/>
      <c r="H21" s="501"/>
      <c r="I21" s="501"/>
      <c r="J21" s="230">
        <f>I21-H21</f>
        <v>0</v>
      </c>
      <c r="N21"/>
      <c r="O21"/>
      <c r="P21"/>
      <c r="Q21"/>
      <c r="R21"/>
      <c r="S21"/>
      <c r="T21"/>
    </row>
    <row r="22" spans="2:20" ht="21" customHeight="1" thickTop="1" thickBot="1">
      <c r="G22" s="340"/>
      <c r="H22" s="339">
        <f>+H20+H21</f>
        <v>400000</v>
      </c>
      <c r="I22" s="339">
        <f>+I20+I21</f>
        <v>465466.71</v>
      </c>
      <c r="J22" s="338">
        <f>+J20+J21</f>
        <v>65466.710000000021</v>
      </c>
      <c r="L22" s="301" t="s">
        <v>3131</v>
      </c>
      <c r="N22"/>
      <c r="O22"/>
      <c r="P22"/>
      <c r="Q22"/>
      <c r="R22"/>
      <c r="S22"/>
      <c r="T22"/>
    </row>
    <row r="23" spans="2:20" ht="13.8" thickTop="1">
      <c r="B23" s="309" t="s">
        <v>3149</v>
      </c>
      <c r="N23"/>
      <c r="O23"/>
      <c r="P23"/>
      <c r="Q23"/>
      <c r="R23"/>
      <c r="S23"/>
      <c r="T23"/>
    </row>
    <row r="24" spans="2:20">
      <c r="B24" s="309" t="s">
        <v>3148</v>
      </c>
      <c r="N24"/>
      <c r="O24"/>
      <c r="P24"/>
      <c r="Q24"/>
      <c r="R24"/>
      <c r="S24"/>
      <c r="T24"/>
    </row>
    <row r="25" spans="2:20">
      <c r="N25"/>
      <c r="O25"/>
      <c r="P25"/>
      <c r="Q25"/>
      <c r="R25"/>
      <c r="S25"/>
      <c r="T25"/>
    </row>
    <row r="26" spans="2:20">
      <c r="N26"/>
      <c r="O26"/>
      <c r="P26"/>
      <c r="Q26"/>
      <c r="R26"/>
      <c r="S26"/>
      <c r="T26"/>
    </row>
    <row r="27" spans="2:20" ht="17.25" customHeight="1" thickBot="1">
      <c r="B27" s="1372" t="s">
        <v>321</v>
      </c>
      <c r="C27" s="1372"/>
      <c r="D27" s="1372"/>
      <c r="E27" s="1372"/>
      <c r="F27" s="1372"/>
      <c r="G27" s="1372"/>
      <c r="H27" s="1372"/>
      <c r="I27" s="1372"/>
      <c r="J27" s="1372"/>
    </row>
    <row r="28" spans="2:20" ht="21" customHeight="1" thickTop="1">
      <c r="B28" s="337" t="s">
        <v>322</v>
      </c>
      <c r="C28" s="313"/>
      <c r="D28" s="313"/>
      <c r="E28" s="313"/>
      <c r="F28" s="313"/>
      <c r="G28" s="313"/>
      <c r="H28" s="313"/>
      <c r="I28" s="336"/>
      <c r="J28" s="275" t="s">
        <v>627</v>
      </c>
    </row>
    <row r="29" spans="2:20" ht="21" customHeight="1">
      <c r="B29" s="334"/>
      <c r="C29" s="333" t="s">
        <v>174</v>
      </c>
      <c r="D29" s="333"/>
      <c r="E29" s="333"/>
      <c r="F29" s="333"/>
      <c r="G29" s="333"/>
      <c r="H29" s="333"/>
      <c r="I29" s="335"/>
      <c r="J29" s="502">
        <v>400000</v>
      </c>
    </row>
    <row r="30" spans="2:20" ht="21" customHeight="1">
      <c r="B30" s="334"/>
      <c r="C30" s="333" t="s">
        <v>3571</v>
      </c>
      <c r="D30" s="333"/>
      <c r="E30" s="333"/>
      <c r="F30" s="333"/>
      <c r="G30" s="333"/>
      <c r="H30" s="333"/>
      <c r="I30" s="335"/>
      <c r="J30" s="502"/>
    </row>
    <row r="31" spans="2:20" ht="21" customHeight="1" thickBot="1">
      <c r="B31" s="334"/>
      <c r="C31" s="333" t="s">
        <v>323</v>
      </c>
      <c r="D31" s="333"/>
      <c r="E31" s="333"/>
      <c r="F31" s="333"/>
      <c r="G31" s="333"/>
      <c r="H31" s="333"/>
      <c r="I31" s="335"/>
      <c r="J31" s="503"/>
    </row>
    <row r="32" spans="2:20" ht="21" customHeight="1" thickTop="1">
      <c r="B32" s="334" t="s">
        <v>324</v>
      </c>
      <c r="C32" s="333"/>
      <c r="D32" s="333"/>
      <c r="E32" s="333"/>
      <c r="F32" s="333"/>
      <c r="G32" s="333"/>
      <c r="H32" s="333"/>
      <c r="I32" s="332"/>
      <c r="J32" s="329">
        <f>SUM(J29:J31)</f>
        <v>400000</v>
      </c>
    </row>
    <row r="33" spans="2:13" ht="21" customHeight="1" thickBot="1">
      <c r="B33" s="334" t="s">
        <v>325</v>
      </c>
      <c r="C33" s="333"/>
      <c r="D33" s="333"/>
      <c r="E33" s="333"/>
      <c r="F33" s="333"/>
      <c r="G33" s="333"/>
      <c r="H33" s="333"/>
      <c r="I33" s="332"/>
      <c r="J33" s="503"/>
    </row>
    <row r="34" spans="2:13" ht="21" customHeight="1" thickTop="1">
      <c r="B34" s="334" t="s">
        <v>726</v>
      </c>
      <c r="C34" s="333"/>
      <c r="D34" s="333"/>
      <c r="E34" s="333"/>
      <c r="F34" s="333"/>
      <c r="G34" s="333"/>
      <c r="H34" s="333"/>
      <c r="I34" s="332"/>
      <c r="J34" s="329">
        <f>+J32+J33</f>
        <v>400000</v>
      </c>
    </row>
    <row r="35" spans="2:13" ht="21" customHeight="1">
      <c r="B35" s="334" t="s">
        <v>326</v>
      </c>
      <c r="C35" s="333"/>
      <c r="D35" s="333"/>
      <c r="E35" s="333"/>
      <c r="F35" s="333"/>
      <c r="G35" s="333"/>
      <c r="H35" s="333"/>
      <c r="I35" s="332"/>
      <c r="J35" s="331"/>
    </row>
    <row r="36" spans="2:13" ht="21" customHeight="1">
      <c r="B36" s="248"/>
      <c r="C36" s="248" t="s">
        <v>593</v>
      </c>
      <c r="D36" s="248"/>
      <c r="E36" s="248"/>
      <c r="F36" s="248"/>
      <c r="G36" s="248"/>
      <c r="H36" s="248"/>
      <c r="I36" s="504">
        <v>341003.45</v>
      </c>
      <c r="J36" s="330"/>
    </row>
    <row r="37" spans="2:13" ht="21" customHeight="1">
      <c r="B37" s="248"/>
      <c r="C37" s="248" t="s">
        <v>730</v>
      </c>
      <c r="D37" s="248"/>
      <c r="E37" s="248"/>
      <c r="F37" s="248"/>
      <c r="G37" s="248"/>
      <c r="H37" s="248"/>
      <c r="I37" s="504">
        <v>58996.55</v>
      </c>
      <c r="J37" s="330"/>
    </row>
    <row r="38" spans="2:13" ht="21" customHeight="1" thickBot="1">
      <c r="B38" s="248" t="s">
        <v>327</v>
      </c>
      <c r="C38" s="248"/>
      <c r="D38" s="248"/>
      <c r="E38" s="248"/>
      <c r="F38" s="248"/>
      <c r="G38" s="248"/>
      <c r="H38" s="248"/>
      <c r="I38" s="505"/>
      <c r="J38" s="502"/>
      <c r="M38" s="301"/>
    </row>
    <row r="39" spans="2:13" ht="21" customHeight="1" thickTop="1" thickBot="1">
      <c r="B39" s="248" t="s">
        <v>731</v>
      </c>
      <c r="C39" s="248"/>
      <c r="D39" s="248"/>
      <c r="E39" s="248"/>
      <c r="F39" s="248"/>
      <c r="G39" s="248"/>
      <c r="H39" s="248"/>
      <c r="I39" s="328"/>
      <c r="J39" s="327">
        <f>SUM(I36:I38)</f>
        <v>400000</v>
      </c>
    </row>
    <row r="40" spans="2:13" ht="21" customHeight="1" thickTop="1" thickBot="1">
      <c r="B40" s="248" t="s">
        <v>328</v>
      </c>
      <c r="C40" s="248"/>
      <c r="D40" s="248"/>
      <c r="E40" s="248"/>
      <c r="F40" s="248"/>
      <c r="G40" s="248"/>
      <c r="H40" s="248"/>
      <c r="I40" s="326"/>
      <c r="J40" s="325">
        <f>+J34-J39</f>
        <v>0</v>
      </c>
      <c r="K40" s="301"/>
    </row>
    <row r="41" spans="2:13" ht="13.8" thickTop="1"/>
    <row r="42" spans="2:13">
      <c r="B42" s="309" t="s">
        <v>3147</v>
      </c>
      <c r="C42" s="309"/>
      <c r="D42" s="309"/>
      <c r="E42" s="309"/>
      <c r="F42" s="309"/>
    </row>
    <row r="43" spans="2:13">
      <c r="B43" s="309"/>
      <c r="C43" s="309" t="s">
        <v>3146</v>
      </c>
      <c r="D43" s="309"/>
      <c r="E43" s="309"/>
      <c r="F43" s="309"/>
    </row>
    <row r="44" spans="2:13">
      <c r="B44" s="309"/>
      <c r="C44" s="309"/>
      <c r="D44" s="309" t="s">
        <v>3145</v>
      </c>
      <c r="E44" s="309"/>
      <c r="F44" s="309"/>
      <c r="M44" s="301"/>
    </row>
    <row r="45" spans="2:13">
      <c r="B45" s="309"/>
      <c r="C45" s="309" t="s">
        <v>39</v>
      </c>
      <c r="D45" s="309"/>
      <c r="E45" s="309"/>
      <c r="F45" s="309"/>
    </row>
    <row r="46" spans="2:13">
      <c r="B46" s="309"/>
      <c r="C46" s="309" t="s">
        <v>3144</v>
      </c>
      <c r="D46" s="309"/>
      <c r="E46" s="309"/>
      <c r="F46" s="309"/>
    </row>
    <row r="47" spans="2:13">
      <c r="B47" s="309"/>
      <c r="C47" s="309"/>
      <c r="D47" s="309" t="s">
        <v>3143</v>
      </c>
      <c r="E47" s="309"/>
      <c r="F47" s="309"/>
    </row>
    <row r="48" spans="2:13">
      <c r="B48" s="309"/>
      <c r="C48" s="309"/>
      <c r="D48" s="309"/>
      <c r="E48" s="309"/>
      <c r="F48" s="309"/>
    </row>
    <row r="55" spans="2:10" ht="13.8">
      <c r="B55" s="1353" t="s">
        <v>3142</v>
      </c>
      <c r="C55" s="1353"/>
      <c r="D55" s="1353"/>
      <c r="E55" s="1353"/>
      <c r="F55" s="1353"/>
      <c r="G55" s="1353"/>
      <c r="H55" s="1353"/>
      <c r="I55" s="1353"/>
      <c r="J55" s="1353"/>
    </row>
  </sheetData>
  <sheetProtection algorithmName="SHA-512" hashValue="GEvgr6oEMTRhjc2N+8RpoJH+tc5JDTSYuQ51e3MUE4LcaNd7XUs7dDVZ2ZaegXkn3PqPu8Qn8VYUTdsvlsSl6g==" saltValue="wi30URGvP45lSJO15ZtXHA==" spinCount="100000" sheet="1" objects="1" scenarios="1"/>
  <mergeCells count="5">
    <mergeCell ref="B5:G6"/>
    <mergeCell ref="B2:J2"/>
    <mergeCell ref="B55:J55"/>
    <mergeCell ref="B4:J4"/>
    <mergeCell ref="B27:J27"/>
  </mergeCells>
  <pageMargins left="0.25" right="0.25" top="0.5" bottom="0.5" header="0.25" footer="0.25"/>
  <pageSetup paperSize="5"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EB5AD-7014-4801-81D7-405865B95661}">
  <sheetPr codeName="Sheet161">
    <tabColor theme="6" tint="0.39997558519241921"/>
  </sheetPr>
  <dimension ref="B3:T57"/>
  <sheetViews>
    <sheetView topLeftCell="A34" zoomScaleNormal="100" zoomScaleSheetLayoutView="80" workbookViewId="0">
      <selection activeCell="K42" sqref="K42"/>
    </sheetView>
  </sheetViews>
  <sheetFormatPr defaultColWidth="8.88671875" defaultRowHeight="13.2"/>
  <cols>
    <col min="1" max="1" width="4.6640625" style="267" customWidth="1"/>
    <col min="2" max="2" width="6.109375" style="267" customWidth="1"/>
    <col min="3" max="3" width="3.33203125" style="267" customWidth="1"/>
    <col min="4" max="4" width="2.6640625" style="267" customWidth="1"/>
    <col min="5" max="5" width="8.88671875" style="267"/>
    <col min="6" max="6" width="5.88671875" style="267" customWidth="1"/>
    <col min="7" max="7" width="8.88671875" style="267"/>
    <col min="8" max="8" width="16" style="267" customWidth="1"/>
    <col min="9" max="9" width="8.88671875" style="267"/>
    <col min="10" max="11" width="16.6640625" style="267" customWidth="1"/>
    <col min="12" max="12" width="8.88671875" style="267"/>
    <col min="13" max="13" width="11.33203125" style="267" customWidth="1"/>
    <col min="14" max="16384" width="8.88671875" style="267"/>
  </cols>
  <sheetData>
    <row r="3" spans="2:20" ht="22.8">
      <c r="B3" s="1358" t="str">
        <f>"STATEMENT  OF  "&amp;IF('KEY INPUTS'!C42="State Fiscal Year","FISCAL  YEAR  "&amp;'KEY INPUTS'!D33&amp;"",'KEY INPUTS'!D34)&amp;"  OPERATION"</f>
        <v>STATEMENT  OF  2024  OPERATION</v>
      </c>
      <c r="C3" s="1358"/>
      <c r="D3" s="1358"/>
      <c r="E3" s="1358"/>
      <c r="F3" s="1358"/>
      <c r="G3" s="1358"/>
      <c r="H3" s="1358"/>
      <c r="I3" s="1358"/>
      <c r="J3" s="1358"/>
      <c r="K3" s="1358"/>
    </row>
    <row r="5" spans="2:20" ht="20.399999999999999">
      <c r="B5" s="1363" t="str">
        <f>UPPER('KEY INPUTS'!D54)&amp;" UTILITY"</f>
        <v>WATER UTILITY</v>
      </c>
      <c r="C5" s="1363"/>
      <c r="D5" s="1363"/>
      <c r="E5" s="1363"/>
      <c r="F5" s="1363"/>
      <c r="G5" s="1363"/>
      <c r="H5" s="1363"/>
      <c r="I5" s="1363"/>
      <c r="J5" s="1363"/>
      <c r="K5" s="1363"/>
    </row>
    <row r="8" spans="2:20">
      <c r="B8" s="267" t="s">
        <v>313</v>
      </c>
      <c r="C8" s="267" t="str">
        <f>"Section 1 of this sheet is required to be filled out ONLY IF the "&amp;IF('KEY INPUTS'!C42="State Fiscal Year","Fiscal Year "&amp;'KEY INPUTS'!D33&amp;"",'KEY INPUTS'!D34)&amp;" "&amp;PROPER('KEY INPUTS'!D54)&amp;" Utility Budget contained"</f>
        <v>Section 1 of this sheet is required to be filled out ONLY IF the 2024 Water Utility Budget contained</v>
      </c>
    </row>
    <row r="9" spans="2:20">
      <c r="C9" s="267" t="s">
        <v>329</v>
      </c>
    </row>
    <row r="10" spans="2:20">
      <c r="C10" s="267" t="s">
        <v>330</v>
      </c>
    </row>
    <row r="11" spans="2:20">
      <c r="C11" s="799" t="s">
        <v>3158</v>
      </c>
    </row>
    <row r="13" spans="2:20" ht="17.399999999999999">
      <c r="B13" s="800" t="s">
        <v>331</v>
      </c>
    </row>
    <row r="14" spans="2:20" ht="13.8" thickBot="1">
      <c r="B14" s="318"/>
      <c r="C14" s="318"/>
      <c r="D14" s="318"/>
      <c r="E14" s="318"/>
      <c r="F14" s="318"/>
      <c r="G14" s="318"/>
      <c r="H14" s="318"/>
      <c r="I14" s="318"/>
      <c r="J14" s="318"/>
      <c r="K14" s="318"/>
    </row>
    <row r="15" spans="2:20" ht="21" customHeight="1" thickTop="1">
      <c r="B15" s="313" t="s">
        <v>332</v>
      </c>
      <c r="C15" s="313"/>
      <c r="D15" s="313"/>
      <c r="E15" s="313"/>
      <c r="F15" s="313"/>
      <c r="G15" s="313"/>
      <c r="H15" s="313"/>
      <c r="I15" s="313"/>
      <c r="J15" s="801" t="s">
        <v>627</v>
      </c>
      <c r="K15" s="355"/>
      <c r="N15"/>
      <c r="O15"/>
      <c r="P15"/>
      <c r="Q15"/>
      <c r="R15"/>
      <c r="S15"/>
      <c r="T15"/>
    </row>
    <row r="16" spans="2:20" ht="21" customHeight="1">
      <c r="B16" s="248"/>
      <c r="C16" s="248" t="s">
        <v>333</v>
      </c>
      <c r="D16" s="248"/>
      <c r="E16" s="248"/>
      <c r="F16" s="248"/>
      <c r="G16" s="248"/>
      <c r="H16" s="248"/>
      <c r="I16" s="248"/>
      <c r="J16" s="629">
        <f>+'44-Utility1'!I20</f>
        <v>465466.71</v>
      </c>
      <c r="K16" s="355"/>
      <c r="N16"/>
      <c r="O16"/>
      <c r="P16"/>
      <c r="Q16"/>
      <c r="R16"/>
      <c r="S16"/>
      <c r="T16"/>
    </row>
    <row r="17" spans="2:20" ht="21" customHeight="1">
      <c r="B17" s="248"/>
      <c r="C17" s="248" t="s">
        <v>334</v>
      </c>
      <c r="D17" s="248"/>
      <c r="E17" s="248"/>
      <c r="F17" s="248"/>
      <c r="G17" s="248"/>
      <c r="H17" s="248"/>
      <c r="I17" s="248"/>
      <c r="J17" s="426">
        <v>5295.44</v>
      </c>
      <c r="K17" s="355"/>
      <c r="N17" s="294"/>
      <c r="O17"/>
      <c r="P17"/>
      <c r="Q17"/>
      <c r="R17"/>
      <c r="S17"/>
      <c r="T17"/>
    </row>
    <row r="18" spans="2:20" ht="21" customHeight="1">
      <c r="B18" s="248"/>
      <c r="C18" s="248" t="str">
        <f>IF('KEY INPUTS'!C42="State Fiscal Year","FY "&amp;'KEY INPUTS'!D33-1&amp;"",'KEY INPUTS'!D34-1)&amp;" Appropriation Reserves Canceled in "&amp;IF('KEY INPUTS'!C42="State Fiscal Year","FY "&amp;'KEY INPUTS'!D33&amp;"",'KEY INPUTS'!D34)</f>
        <v>2023 Appropriation Reserves Canceled in 2024</v>
      </c>
      <c r="D18" s="802"/>
      <c r="E18" s="802"/>
      <c r="F18" s="802"/>
      <c r="G18" s="802"/>
      <c r="H18" s="248"/>
      <c r="I18" s="248"/>
      <c r="J18" s="291">
        <v>4955.67</v>
      </c>
      <c r="K18" s="355"/>
      <c r="N18"/>
      <c r="O18"/>
      <c r="P18"/>
      <c r="Q18"/>
      <c r="R18"/>
      <c r="S18"/>
      <c r="T18"/>
    </row>
    <row r="19" spans="2:20" ht="21" customHeight="1">
      <c r="B19" s="248"/>
      <c r="C19" s="495"/>
      <c r="D19" s="495"/>
      <c r="E19" s="495"/>
      <c r="F19" s="495"/>
      <c r="G19" s="495"/>
      <c r="H19" s="495"/>
      <c r="I19" s="495"/>
      <c r="J19" s="291"/>
      <c r="K19" s="355"/>
      <c r="N19"/>
      <c r="O19"/>
      <c r="P19"/>
      <c r="Q19"/>
      <c r="R19"/>
      <c r="S19"/>
      <c r="T19"/>
    </row>
    <row r="20" spans="2:20" ht="21" customHeight="1">
      <c r="B20" s="248"/>
      <c r="C20" s="495"/>
      <c r="D20" s="495"/>
      <c r="E20" s="495"/>
      <c r="F20" s="495"/>
      <c r="G20" s="495"/>
      <c r="H20" s="495"/>
      <c r="I20" s="495"/>
      <c r="J20" s="291"/>
      <c r="K20" s="355"/>
      <c r="N20"/>
      <c r="O20"/>
      <c r="P20"/>
      <c r="Q20"/>
      <c r="R20"/>
      <c r="S20"/>
      <c r="T20"/>
    </row>
    <row r="21" spans="2:20" ht="21" customHeight="1">
      <c r="B21" s="248"/>
      <c r="C21" s="248" t="s">
        <v>335</v>
      </c>
      <c r="D21" s="248"/>
      <c r="E21" s="248"/>
      <c r="F21" s="248"/>
      <c r="G21" s="248"/>
      <c r="H21" s="248"/>
      <c r="I21" s="248"/>
      <c r="J21" s="803"/>
      <c r="K21" s="636">
        <f>SUM(J16:J20)</f>
        <v>475717.82</v>
      </c>
      <c r="N21"/>
      <c r="O21"/>
      <c r="P21"/>
      <c r="Q21"/>
      <c r="R21"/>
      <c r="S21"/>
      <c r="T21"/>
    </row>
    <row r="22" spans="2:20" ht="21" customHeight="1">
      <c r="B22" s="248" t="s">
        <v>336</v>
      </c>
      <c r="C22" s="248"/>
      <c r="D22" s="248"/>
      <c r="E22" s="248"/>
      <c r="F22" s="248"/>
      <c r="G22" s="248"/>
      <c r="H22" s="248"/>
      <c r="I22" s="248"/>
      <c r="J22" s="804" t="s">
        <v>627</v>
      </c>
      <c r="K22" s="628"/>
      <c r="N22"/>
      <c r="O22"/>
      <c r="P22"/>
      <c r="Q22"/>
      <c r="R22"/>
      <c r="S22"/>
      <c r="T22"/>
    </row>
    <row r="23" spans="2:20" ht="21" customHeight="1">
      <c r="B23" s="248"/>
      <c r="C23" s="248" t="s">
        <v>337</v>
      </c>
      <c r="D23" s="248"/>
      <c r="E23" s="248"/>
      <c r="F23" s="248"/>
      <c r="G23" s="248"/>
      <c r="H23" s="248"/>
      <c r="I23" s="248"/>
      <c r="J23" s="804" t="s">
        <v>627</v>
      </c>
      <c r="K23" s="628"/>
      <c r="N23"/>
      <c r="O23"/>
      <c r="P23"/>
      <c r="Q23"/>
      <c r="R23"/>
      <c r="S23"/>
      <c r="T23"/>
    </row>
    <row r="24" spans="2:20" ht="21" customHeight="1">
      <c r="B24" s="248"/>
      <c r="C24" s="248"/>
      <c r="D24" s="248" t="s">
        <v>593</v>
      </c>
      <c r="E24" s="248"/>
      <c r="F24" s="248"/>
      <c r="G24" s="248"/>
      <c r="H24" s="248"/>
      <c r="I24" s="248"/>
      <c r="J24" s="629">
        <f>+'44-Utility1'!I36</f>
        <v>341003.45</v>
      </c>
      <c r="K24" s="628"/>
      <c r="N24"/>
      <c r="O24"/>
      <c r="P24"/>
      <c r="Q24"/>
      <c r="R24"/>
      <c r="S24"/>
      <c r="T24"/>
    </row>
    <row r="25" spans="2:20" ht="21" customHeight="1">
      <c r="B25" s="248"/>
      <c r="C25" s="248"/>
      <c r="D25" s="248" t="s">
        <v>730</v>
      </c>
      <c r="E25" s="248"/>
      <c r="F25" s="248"/>
      <c r="G25" s="248"/>
      <c r="H25" s="248"/>
      <c r="I25" s="248"/>
      <c r="J25" s="629">
        <f>+'44-Utility1'!I37</f>
        <v>58996.55</v>
      </c>
      <c r="K25" s="628"/>
      <c r="N25"/>
      <c r="O25"/>
      <c r="P25"/>
      <c r="Q25"/>
      <c r="R25"/>
      <c r="S25"/>
      <c r="T25"/>
    </row>
    <row r="26" spans="2:20" ht="21" customHeight="1">
      <c r="B26" s="248"/>
      <c r="C26" s="248" t="s">
        <v>338</v>
      </c>
      <c r="D26" s="248"/>
      <c r="E26" s="248"/>
      <c r="F26" s="248"/>
      <c r="G26" s="248"/>
      <c r="H26" s="248"/>
      <c r="I26" s="248"/>
      <c r="J26" s="426"/>
      <c r="K26" s="628"/>
      <c r="N26"/>
      <c r="O26"/>
      <c r="P26"/>
      <c r="Q26"/>
      <c r="R26"/>
      <c r="S26"/>
      <c r="T26"/>
    </row>
    <row r="27" spans="2:20" ht="21" customHeight="1">
      <c r="B27" s="248"/>
      <c r="C27" s="248" t="s">
        <v>339</v>
      </c>
      <c r="D27" s="248"/>
      <c r="E27" s="248"/>
      <c r="F27" s="248"/>
      <c r="G27" s="248"/>
      <c r="H27" s="248"/>
      <c r="I27" s="248"/>
      <c r="J27" s="426"/>
      <c r="K27" s="628"/>
      <c r="N27"/>
      <c r="O27"/>
      <c r="P27"/>
      <c r="Q27"/>
      <c r="R27"/>
      <c r="S27"/>
      <c r="T27"/>
    </row>
    <row r="28" spans="2:20" ht="21" customHeight="1" thickBot="1">
      <c r="B28" s="248"/>
      <c r="C28" s="495"/>
      <c r="D28" s="494"/>
      <c r="E28" s="495"/>
      <c r="F28" s="495"/>
      <c r="G28" s="495"/>
      <c r="H28" s="495"/>
      <c r="I28" s="495"/>
      <c r="J28" s="725"/>
      <c r="K28" s="628"/>
      <c r="N28"/>
      <c r="O28"/>
      <c r="P28"/>
      <c r="Q28"/>
      <c r="R28"/>
      <c r="S28"/>
      <c r="T28"/>
    </row>
    <row r="29" spans="2:20" ht="21" customHeight="1">
      <c r="B29" s="248"/>
      <c r="C29" s="248"/>
      <c r="D29" s="248"/>
      <c r="E29" s="248"/>
      <c r="F29" s="248" t="s">
        <v>731</v>
      </c>
      <c r="G29" s="248"/>
      <c r="H29" s="248"/>
      <c r="I29" s="248"/>
      <c r="J29" s="633">
        <f>SUM(J24:J28)</f>
        <v>400000</v>
      </c>
      <c r="K29" s="628"/>
      <c r="N29"/>
      <c r="O29"/>
      <c r="P29"/>
      <c r="Q29"/>
      <c r="R29"/>
      <c r="S29"/>
      <c r="T29"/>
    </row>
    <row r="30" spans="2:20" ht="11.25" customHeight="1">
      <c r="F30" s="267" t="s">
        <v>755</v>
      </c>
      <c r="G30" s="267" t="s">
        <v>756</v>
      </c>
      <c r="J30" s="807"/>
      <c r="K30" s="628"/>
      <c r="N30"/>
      <c r="O30"/>
      <c r="P30"/>
      <c r="Q30"/>
      <c r="R30"/>
      <c r="S30"/>
      <c r="T30"/>
    </row>
    <row r="31" spans="2:20" ht="13.5" customHeight="1">
      <c r="B31" s="333"/>
      <c r="C31" s="333"/>
      <c r="D31" s="333"/>
      <c r="E31" s="333"/>
      <c r="F31" s="333"/>
      <c r="G31" s="333" t="s">
        <v>757</v>
      </c>
      <c r="H31" s="333"/>
      <c r="I31" s="808"/>
      <c r="J31" s="962"/>
      <c r="K31" s="805"/>
      <c r="N31"/>
      <c r="O31"/>
      <c r="P31"/>
      <c r="Q31"/>
      <c r="R31"/>
      <c r="S31"/>
      <c r="T31"/>
    </row>
    <row r="32" spans="2:20" ht="21" customHeight="1" thickBot="1">
      <c r="B32" s="810"/>
      <c r="C32" s="810"/>
      <c r="D32" s="810" t="s">
        <v>758</v>
      </c>
      <c r="E32" s="810"/>
      <c r="F32" s="810"/>
      <c r="G32" s="810"/>
      <c r="H32" s="810"/>
      <c r="I32" s="810"/>
      <c r="J32" s="811"/>
      <c r="K32" s="806">
        <f>+J29-J31</f>
        <v>400000</v>
      </c>
    </row>
    <row r="33" spans="2:15" ht="21" customHeight="1" thickTop="1" thickBot="1">
      <c r="B33" s="812" t="s">
        <v>759</v>
      </c>
      <c r="C33" s="812"/>
      <c r="D33" s="812"/>
      <c r="E33" s="812"/>
      <c r="F33" s="812"/>
      <c r="G33" s="812"/>
      <c r="H33" s="812"/>
      <c r="I33" s="812"/>
      <c r="J33" s="813"/>
      <c r="K33" s="814">
        <f>IF(M33&gt;0,M33,0)</f>
        <v>75717.820000000007</v>
      </c>
      <c r="M33" s="301">
        <f>+K21-K32</f>
        <v>75717.820000000007</v>
      </c>
      <c r="N33" s="550" t="s">
        <v>3369</v>
      </c>
    </row>
    <row r="34" spans="2:15" ht="21" customHeight="1">
      <c r="B34" s="248" t="s">
        <v>760</v>
      </c>
      <c r="C34" s="248"/>
      <c r="D34" s="248"/>
      <c r="E34" s="248"/>
      <c r="F34" s="248"/>
      <c r="G34" s="248"/>
      <c r="H34" s="248"/>
      <c r="I34" s="248"/>
      <c r="J34" s="426"/>
      <c r="K34" s="628"/>
    </row>
    <row r="35" spans="2:15" ht="11.25" customHeight="1">
      <c r="B35" s="1375" t="s">
        <v>761</v>
      </c>
      <c r="C35" s="1375"/>
      <c r="D35" s="1375"/>
      <c r="E35" s="267" t="str">
        <f>"Balance of Results of "&amp;IF('KEY INPUTS'!C42="State Fiscal Year","Fiscal Year "&amp;'KEY INPUTS'!D33&amp;"",'KEY INPUTS'!D34)&amp;" Operation"</f>
        <v>Balance of Results of 2024 Operation</v>
      </c>
      <c r="J35" s="807"/>
      <c r="K35" s="628"/>
    </row>
    <row r="36" spans="2:15" ht="12.75" customHeight="1" thickBot="1">
      <c r="B36" s="1376"/>
      <c r="C36" s="1376"/>
      <c r="D36" s="1376"/>
      <c r="E36" s="333" t="s">
        <v>3481</v>
      </c>
      <c r="F36" s="333"/>
      <c r="G36" s="333"/>
      <c r="H36" s="333"/>
      <c r="I36" s="333"/>
      <c r="J36" s="809">
        <f>+K33-J34</f>
        <v>75717.820000000007</v>
      </c>
      <c r="K36" s="628"/>
    </row>
    <row r="37" spans="2:15" ht="21" customHeight="1" thickBot="1">
      <c r="B37" s="819"/>
      <c r="C37" s="819"/>
      <c r="D37" s="819"/>
      <c r="E37" s="819"/>
      <c r="F37" s="819"/>
      <c r="G37" s="819"/>
      <c r="H37" s="819"/>
      <c r="I37" s="819"/>
      <c r="J37" s="820"/>
      <c r="K37" s="815"/>
    </row>
    <row r="38" spans="2:15" ht="21" customHeight="1" thickBot="1">
      <c r="B38" s="357" t="s">
        <v>762</v>
      </c>
      <c r="C38" s="357"/>
      <c r="D38" s="357"/>
      <c r="E38" s="357"/>
      <c r="F38" s="357"/>
      <c r="G38" s="357"/>
      <c r="H38" s="357"/>
      <c r="I38" s="357"/>
      <c r="J38" s="821"/>
      <c r="K38" s="816">
        <f>IF(+M33&gt;0,0,+M33*-1)</f>
        <v>0</v>
      </c>
    </row>
    <row r="39" spans="2:15" ht="21" customHeight="1">
      <c r="B39" s="248" t="s">
        <v>763</v>
      </c>
      <c r="C39" s="248"/>
      <c r="D39" s="248"/>
      <c r="E39" s="248"/>
      <c r="F39" s="248"/>
      <c r="G39" s="248"/>
      <c r="H39" s="248"/>
      <c r="I39" s="248"/>
      <c r="J39" s="821">
        <f>+'44-Utility1'!I21</f>
        <v>0</v>
      </c>
      <c r="K39" s="628"/>
    </row>
    <row r="40" spans="2:15">
      <c r="B40" s="1377" t="s">
        <v>761</v>
      </c>
      <c r="C40" s="1377"/>
      <c r="D40" s="1377"/>
      <c r="E40" s="267" t="str">
        <f>"Balance of Results of "&amp;IF('KEY INPUTS'!C42="State Fiscal Year","Fiscal Year "&amp;'KEY INPUTS'!D33&amp;"",'KEY INPUTS'!D34)&amp;" Operation"</f>
        <v>Balance of Results of 2024 Operation</v>
      </c>
      <c r="J40" s="807"/>
      <c r="K40" s="817"/>
    </row>
    <row r="41" spans="2:15" ht="13.8" thickBot="1">
      <c r="B41" s="1378"/>
      <c r="C41" s="1378"/>
      <c r="D41" s="1378"/>
      <c r="E41" s="318" t="s">
        <v>3157</v>
      </c>
      <c r="F41" s="318"/>
      <c r="G41" s="318"/>
      <c r="H41" s="318"/>
      <c r="I41" s="318"/>
      <c r="J41" s="822">
        <f>+K38-J39</f>
        <v>0</v>
      </c>
      <c r="K41" s="818"/>
      <c r="L41" s="573"/>
      <c r="O41" s="301"/>
    </row>
    <row r="42" spans="2:15" ht="13.8" thickTop="1">
      <c r="J42" s="355"/>
      <c r="K42" s="355"/>
    </row>
    <row r="43" spans="2:15" ht="17.399999999999999">
      <c r="B43" s="800" t="s">
        <v>764</v>
      </c>
      <c r="J43" s="355"/>
      <c r="K43" s="355"/>
    </row>
    <row r="44" spans="2:15">
      <c r="B44" s="267" t="str">
        <f>"The following Item of '"&amp;IF('KEY INPUTS'!C42="State Fiscal Year","Fiscal Year "&amp;'KEY INPUTS'!D33-1&amp;"",'KEY INPUTS'!D34-1)&amp;" Appropriation Reserves Canceled in "&amp;IF('KEY INPUTS'!C42="State Fiscal Year","Fiscal Year "&amp;'KEY INPUTS'!D33&amp;"",'KEY INPUTS'!D34)&amp;"' is Due to the Current"</f>
        <v>The following Item of '2023 Appropriation Reserves Canceled in 2024' is Due to the Current</v>
      </c>
      <c r="J44" s="628"/>
      <c r="K44" s="628"/>
    </row>
    <row r="45" spans="2:15">
      <c r="B45" s="267" t="str">
        <f>"fund TO THE EXTENT OF the amount received and Due from the General Budget of "&amp;IF('KEY INPUTS'!C42="State Fiscal Year","Fiscal Year "&amp;'KEY INPUTS'!D33-1&amp;"",'KEY INPUTS'!D34-1)&amp;" for an"</f>
        <v>fund TO THE EXTENT OF the amount received and Due from the General Budget of 2023 for an</v>
      </c>
      <c r="J45" s="628"/>
      <c r="K45" s="628"/>
    </row>
    <row r="46" spans="2:15">
      <c r="B46" s="267" t="str">
        <f>"Anticipated Deficit in the "&amp;PROPER('KEY INPUTS'!D54)&amp;" Utility for "&amp;IF('KEY INPUTS'!C42="State Fiscal Year","Fiscal Year "&amp;'KEY INPUTS'!D33-1&amp;"",'KEY INPUTS'!D34-1)&amp;""</f>
        <v>Anticipated Deficit in the Water Utility for 2023</v>
      </c>
      <c r="J46" s="628"/>
      <c r="K46" s="628"/>
      <c r="O46"/>
    </row>
    <row r="47" spans="2:15">
      <c r="J47" s="355"/>
      <c r="K47" s="355"/>
      <c r="O47"/>
    </row>
    <row r="48" spans="2:15" ht="21" customHeight="1">
      <c r="B48" s="248" t="str">
        <f>IF('KEY INPUTS'!C42="State Fiscal Year","Fiscal Year "&amp;'KEY INPUTS'!D33-1&amp;"",'KEY INPUTS'!D34-1)&amp;" Appropriation Reserves Canceled in "&amp;IF('KEY INPUTS'!C42="State Fiscal Year","Fiscal Year "&amp;'KEY INPUTS'!D33&amp;"",'KEY INPUTS'!D34)&amp;""</f>
        <v>2023 Appropriation Reserves Canceled in 2024</v>
      </c>
      <c r="C48" s="248"/>
      <c r="D48" s="248"/>
      <c r="E48" s="248"/>
      <c r="F48" s="248"/>
      <c r="G48" s="248"/>
      <c r="H48" s="248"/>
      <c r="I48" s="248"/>
      <c r="J48" s="291">
        <v>4955.67</v>
      </c>
      <c r="K48" s="628"/>
      <c r="O48"/>
    </row>
    <row r="49" spans="2:15" ht="24" customHeight="1">
      <c r="B49" s="248"/>
      <c r="C49" s="823" t="s">
        <v>755</v>
      </c>
      <c r="D49" s="248"/>
      <c r="E49" s="1373" t="str">
        <f>"Anticipated Deficit in "&amp;IF('KEY INPUTS'!C42="State Fiscal Year","Fiscal Year "&amp;'KEY INPUTS'!D33-1&amp;"",'KEY INPUTS'!D34-1)&amp;" Budget - Amount Received and Due from Current Fund - If none, enter 'None '"</f>
        <v>Anticipated Deficit in 2023 Budget - Amount Received and Due from Current Fund - If none, enter 'None '</v>
      </c>
      <c r="F49" s="1373"/>
      <c r="G49" s="1373"/>
      <c r="H49" s="1373"/>
      <c r="I49" s="1374"/>
      <c r="J49" s="426"/>
      <c r="K49" s="628"/>
      <c r="O49"/>
    </row>
    <row r="50" spans="2:15" ht="21" customHeight="1">
      <c r="B50" s="248" t="s">
        <v>765</v>
      </c>
      <c r="C50" s="248"/>
      <c r="D50" s="248"/>
      <c r="E50" s="248"/>
      <c r="F50" s="248"/>
      <c r="G50" s="248"/>
      <c r="H50" s="248"/>
      <c r="I50" s="248"/>
      <c r="J50" s="509"/>
      <c r="K50" s="636">
        <f>+MAX(0,J48-J49)</f>
        <v>4955.67</v>
      </c>
    </row>
    <row r="52" spans="2:15">
      <c r="B52" s="267" t="s">
        <v>3156</v>
      </c>
    </row>
    <row r="57" spans="2:15" ht="13.8">
      <c r="B57" s="1353" t="s">
        <v>3155</v>
      </c>
      <c r="C57" s="1353"/>
      <c r="D57" s="1353"/>
      <c r="E57" s="1353"/>
      <c r="F57" s="1353"/>
      <c r="G57" s="1353"/>
      <c r="H57" s="1353"/>
      <c r="I57" s="1353"/>
      <c r="J57" s="1353"/>
      <c r="K57" s="1353"/>
    </row>
  </sheetData>
  <sheetProtection algorithmName="SHA-512" hashValue="LV7gg8Xvj13KTsPsD6sHNpXWGllLxpKroXfPVWaRkDa9dhZS9X8jYItUP86wRvT5PZkeeVTUeXGYuYBRsb/UbA==" saltValue="QJHFHFV2pRxGUsbHYxGP1A==" spinCount="100000" sheet="1" objects="1" scenarios="1"/>
  <mergeCells count="6">
    <mergeCell ref="B57:K57"/>
    <mergeCell ref="E49:I49"/>
    <mergeCell ref="B3:K3"/>
    <mergeCell ref="B5:K5"/>
    <mergeCell ref="B35:D36"/>
    <mergeCell ref="B40:D41"/>
  </mergeCells>
  <pageMargins left="0.25" right="0.25" top="0.5" bottom="0.5" header="0.25" footer="0.25"/>
  <pageSetup paperSize="5"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F257F-E97C-4DB9-8935-7F9F225DC5B3}">
  <sheetPr codeName="Sheet162">
    <tabColor theme="6" tint="0.39997558519241921"/>
  </sheetPr>
  <dimension ref="B2:Z52"/>
  <sheetViews>
    <sheetView topLeftCell="A25" zoomScaleNormal="100" zoomScaleSheetLayoutView="80" workbookViewId="0">
      <selection activeCell="L38" sqref="L38"/>
    </sheetView>
  </sheetViews>
  <sheetFormatPr defaultColWidth="8.88671875" defaultRowHeight="13.2"/>
  <cols>
    <col min="1" max="5" width="4.6640625" style="267" customWidth="1"/>
    <col min="6" max="8" width="8.88671875" style="267"/>
    <col min="9" max="9" width="6.33203125" style="267" customWidth="1"/>
    <col min="10" max="10" width="8.88671875" style="267"/>
    <col min="11" max="12" width="16.6640625" style="267" customWidth="1"/>
    <col min="13" max="13" width="13.5546875" style="267" bestFit="1" customWidth="1"/>
    <col min="14" max="14" width="11.88671875" style="267" bestFit="1" customWidth="1"/>
    <col min="15" max="16384" width="8.88671875" style="267"/>
  </cols>
  <sheetData>
    <row r="2" spans="2:26" ht="20.399999999999999">
      <c r="B2" s="1363" t="str">
        <f>"RESULTS  OF  "&amp;IF('KEY INPUTS'!C42="State Fiscal Year","FY  "&amp;'KEY INPUTS'!D33&amp;"",'KEY INPUTS'!D34)&amp;"  OPERATIONS  - "&amp;UPPER('KEY INPUTS'!D54)&amp;" UTILITY"</f>
        <v>RESULTS  OF  2024  OPERATIONS  - WATER UTILITY</v>
      </c>
      <c r="C2" s="1363"/>
      <c r="D2" s="1363"/>
      <c r="E2" s="1363"/>
      <c r="F2" s="1363"/>
      <c r="G2" s="1363"/>
      <c r="H2" s="1363"/>
      <c r="I2" s="1363"/>
      <c r="J2" s="1363"/>
      <c r="K2" s="1363"/>
      <c r="L2" s="1363"/>
    </row>
    <row r="3" spans="2:26" ht="13.8" thickBot="1"/>
    <row r="4" spans="2:26" ht="21" customHeight="1" thickTop="1" thickBot="1">
      <c r="B4" s="364"/>
      <c r="C4" s="364"/>
      <c r="D4" s="364"/>
      <c r="E4" s="364"/>
      <c r="F4" s="364"/>
      <c r="G4" s="364"/>
      <c r="H4" s="364"/>
      <c r="I4" s="364"/>
      <c r="J4" s="364"/>
      <c r="K4" s="304" t="s">
        <v>96</v>
      </c>
      <c r="L4" s="308" t="s">
        <v>97</v>
      </c>
    </row>
    <row r="5" spans="2:26" ht="21" customHeight="1" thickTop="1">
      <c r="B5" s="831" t="s">
        <v>209</v>
      </c>
      <c r="C5" s="313"/>
      <c r="D5" s="313"/>
      <c r="E5" s="313"/>
      <c r="F5" s="313"/>
      <c r="G5" s="313"/>
      <c r="H5" s="313"/>
      <c r="I5" s="313"/>
      <c r="J5" s="313"/>
      <c r="K5" s="826" t="s">
        <v>627</v>
      </c>
      <c r="L5" s="827">
        <f>IF(+'44-Utility1'!J22&gt;0,+'44-Utility1'!J22,0)</f>
        <v>65466.710000000021</v>
      </c>
      <c r="N5"/>
      <c r="O5"/>
      <c r="P5"/>
      <c r="Q5"/>
      <c r="R5"/>
      <c r="S5"/>
      <c r="T5"/>
    </row>
    <row r="6" spans="2:26" ht="21" customHeight="1">
      <c r="B6" s="802" t="s">
        <v>3601</v>
      </c>
      <c r="C6" s="248"/>
      <c r="D6" s="248"/>
      <c r="E6" s="248"/>
      <c r="F6" s="248"/>
      <c r="G6" s="248"/>
      <c r="H6" s="248"/>
      <c r="I6" s="248"/>
      <c r="J6" s="248"/>
      <c r="K6" s="828" t="s">
        <v>627</v>
      </c>
      <c r="L6" s="365">
        <f>+'44-Utility1'!J40</f>
        <v>0</v>
      </c>
      <c r="M6" s="573"/>
      <c r="N6"/>
      <c r="O6"/>
      <c r="P6"/>
      <c r="Q6"/>
      <c r="R6"/>
      <c r="S6"/>
      <c r="T6"/>
    </row>
    <row r="7" spans="2:26" ht="21" customHeight="1">
      <c r="B7" s="802" t="s">
        <v>210</v>
      </c>
      <c r="C7" s="248"/>
      <c r="D7" s="248"/>
      <c r="E7" s="248"/>
      <c r="F7" s="248"/>
      <c r="G7" s="248"/>
      <c r="H7" s="248"/>
      <c r="I7" s="248"/>
      <c r="J7" s="248"/>
      <c r="K7" s="828" t="s">
        <v>627</v>
      </c>
      <c r="L7" s="780">
        <f>'45-Utility1'!J17</f>
        <v>5295.44</v>
      </c>
      <c r="N7" s="294"/>
      <c r="O7"/>
      <c r="P7"/>
      <c r="Q7"/>
      <c r="R7"/>
      <c r="S7"/>
      <c r="T7"/>
    </row>
    <row r="8" spans="2:26" ht="21" customHeight="1">
      <c r="B8" s="267" t="str">
        <f>"Unexpended Balances of "&amp;IF('KEY INPUTS'!C42="State Fiscal Year","FY "&amp;'KEY INPUTS'!D33-1&amp;"",'KEY INPUTS'!D34-1)&amp;" Appropriation Reserves*"</f>
        <v>Unexpended Balances of 2023 Appropriation Reserves*</v>
      </c>
      <c r="C8" s="248"/>
      <c r="D8" s="248"/>
      <c r="E8" s="248"/>
      <c r="F8" s="248"/>
      <c r="G8" s="248"/>
      <c r="H8" s="248"/>
      <c r="I8" s="248"/>
      <c r="J8" s="248"/>
      <c r="K8" s="828" t="s">
        <v>627</v>
      </c>
      <c r="L8" s="780">
        <f>+'45-Utility1'!K50</f>
        <v>4955.67</v>
      </c>
      <c r="N8"/>
      <c r="O8"/>
      <c r="P8"/>
      <c r="Q8"/>
      <c r="R8"/>
      <c r="S8"/>
      <c r="T8"/>
    </row>
    <row r="9" spans="2:26" ht="21" customHeight="1">
      <c r="B9" s="544"/>
      <c r="C9" s="495"/>
      <c r="D9" s="495"/>
      <c r="E9" s="495"/>
      <c r="F9" s="495"/>
      <c r="G9" s="495"/>
      <c r="H9" s="495"/>
      <c r="I9" s="248"/>
      <c r="J9" s="248"/>
      <c r="K9" s="504"/>
      <c r="L9" s="457"/>
      <c r="N9"/>
      <c r="O9"/>
      <c r="P9"/>
      <c r="Q9"/>
      <c r="R9"/>
      <c r="S9"/>
      <c r="T9"/>
    </row>
    <row r="10" spans="2:26" ht="21" customHeight="1">
      <c r="B10" s="267" t="s">
        <v>3162</v>
      </c>
      <c r="K10" s="533">
        <f>IF(+'44-Utility1'!J22&lt;0,-'44-Utility1'!J22,0)</f>
        <v>0</v>
      </c>
      <c r="L10" s="829" t="s">
        <v>627</v>
      </c>
      <c r="M10" s="301">
        <f>+L9+L8+L7+L6+L5-K11-K10-K9</f>
        <v>75717.820000000022</v>
      </c>
      <c r="N10" s="550" t="s">
        <v>3370</v>
      </c>
      <c r="O10"/>
      <c r="P10"/>
      <c r="Q10"/>
      <c r="R10"/>
      <c r="S10"/>
      <c r="T10"/>
      <c r="V10" s="301"/>
    </row>
    <row r="11" spans="2:26" ht="21" customHeight="1">
      <c r="B11" s="544"/>
      <c r="C11" s="824"/>
      <c r="D11" s="495"/>
      <c r="E11" s="495"/>
      <c r="F11" s="495"/>
      <c r="G11" s="495"/>
      <c r="H11" s="495"/>
      <c r="I11" s="248"/>
      <c r="J11" s="248"/>
      <c r="K11" s="450"/>
      <c r="L11" s="829" t="s">
        <v>627</v>
      </c>
      <c r="N11"/>
      <c r="O11"/>
      <c r="P11"/>
      <c r="Q11"/>
      <c r="R11"/>
      <c r="S11"/>
      <c r="T11"/>
      <c r="U11"/>
      <c r="V11"/>
      <c r="W11"/>
      <c r="X11"/>
      <c r="Y11"/>
      <c r="Z11"/>
    </row>
    <row r="12" spans="2:26" ht="21" customHeight="1">
      <c r="B12" s="538" t="s">
        <v>211</v>
      </c>
      <c r="C12" s="802"/>
      <c r="D12" s="248"/>
      <c r="E12" s="248"/>
      <c r="F12" s="248"/>
      <c r="G12" s="248"/>
      <c r="H12" s="248"/>
      <c r="I12" s="248"/>
      <c r="J12" s="248"/>
      <c r="K12" s="828" t="s">
        <v>627</v>
      </c>
      <c r="L12" s="365">
        <f>IF(M10&gt;0,0,M10*-1)</f>
        <v>0</v>
      </c>
      <c r="N12"/>
      <c r="O12"/>
      <c r="P12"/>
      <c r="Q12"/>
      <c r="R12"/>
      <c r="S12"/>
      <c r="T12"/>
      <c r="U12"/>
      <c r="V12"/>
      <c r="W12"/>
      <c r="X12"/>
      <c r="Y12"/>
      <c r="Z12"/>
    </row>
    <row r="13" spans="2:26" ht="21" customHeight="1" thickBot="1">
      <c r="B13" s="538" t="s">
        <v>212</v>
      </c>
      <c r="C13" s="802"/>
      <c r="D13" s="248"/>
      <c r="E13" s="248"/>
      <c r="F13" s="248"/>
      <c r="G13" s="248"/>
      <c r="H13" s="248"/>
      <c r="I13" s="248"/>
      <c r="J13" s="248"/>
      <c r="K13" s="533">
        <f>IF(M10&gt;0,M10,0)</f>
        <v>75717.820000000022</v>
      </c>
      <c r="L13" s="830" t="s">
        <v>627</v>
      </c>
      <c r="M13" s="301"/>
      <c r="N13"/>
      <c r="O13"/>
      <c r="P13"/>
      <c r="Q13"/>
      <c r="R13"/>
      <c r="S13"/>
      <c r="T13"/>
      <c r="U13"/>
      <c r="V13" s="378"/>
      <c r="W13"/>
      <c r="X13"/>
      <c r="Y13"/>
      <c r="Z13"/>
    </row>
    <row r="14" spans="2:26" ht="21" customHeight="1" thickBot="1">
      <c r="B14" s="309" t="s">
        <v>3161</v>
      </c>
      <c r="K14" s="785">
        <f>SUM(K5:K13)</f>
        <v>75717.820000000022</v>
      </c>
      <c r="L14" s="786">
        <f>SUM(L5:L13)</f>
        <v>75717.820000000022</v>
      </c>
      <c r="M14" s="301">
        <f>L14-K14</f>
        <v>0</v>
      </c>
      <c r="N14"/>
      <c r="O14"/>
      <c r="P14"/>
      <c r="Q14"/>
      <c r="R14"/>
      <c r="S14"/>
      <c r="T14"/>
      <c r="U14"/>
      <c r="V14"/>
      <c r="W14"/>
      <c r="X14"/>
      <c r="Y14"/>
      <c r="Z14"/>
    </row>
    <row r="15" spans="2:26" ht="18.75" customHeight="1" thickTop="1">
      <c r="N15"/>
      <c r="O15"/>
      <c r="P15"/>
      <c r="Q15"/>
      <c r="R15"/>
      <c r="S15"/>
      <c r="T15"/>
    </row>
    <row r="16" spans="2:26" ht="18.75" customHeight="1">
      <c r="K16" s="301"/>
      <c r="N16"/>
      <c r="O16"/>
      <c r="P16"/>
      <c r="Q16"/>
      <c r="R16"/>
      <c r="S16"/>
      <c r="T16"/>
    </row>
    <row r="17" spans="2:20" ht="22.8">
      <c r="B17" s="1358" t="str">
        <f>"OPERATING  SURPLUS  - "&amp;UPPER('KEY INPUTS'!D54)&amp;" UTILITY"</f>
        <v>OPERATING  SURPLUS  - WATER UTILITY</v>
      </c>
      <c r="C17" s="1358"/>
      <c r="D17" s="1358"/>
      <c r="E17" s="1358"/>
      <c r="F17" s="1358"/>
      <c r="G17" s="1358"/>
      <c r="H17" s="1358"/>
      <c r="I17" s="1358"/>
      <c r="J17" s="1358"/>
      <c r="K17" s="1358"/>
      <c r="L17" s="1358"/>
      <c r="N17"/>
      <c r="O17"/>
      <c r="P17"/>
      <c r="Q17"/>
      <c r="R17"/>
      <c r="S17"/>
      <c r="T17"/>
    </row>
    <row r="18" spans="2:20" ht="6.75" customHeight="1" thickBot="1">
      <c r="N18"/>
      <c r="O18"/>
      <c r="P18"/>
      <c r="Q18"/>
      <c r="R18"/>
      <c r="S18"/>
      <c r="T18"/>
    </row>
    <row r="19" spans="2:20" ht="25.5" customHeight="1" thickTop="1" thickBot="1">
      <c r="B19" s="364"/>
      <c r="C19" s="364"/>
      <c r="D19" s="364"/>
      <c r="E19" s="364"/>
      <c r="F19" s="364"/>
      <c r="G19" s="364"/>
      <c r="H19" s="364"/>
      <c r="I19" s="364"/>
      <c r="J19" s="364"/>
      <c r="K19" s="304" t="s">
        <v>96</v>
      </c>
      <c r="L19" s="308" t="s">
        <v>97</v>
      </c>
      <c r="N19"/>
      <c r="O19"/>
      <c r="P19"/>
      <c r="Q19"/>
      <c r="R19"/>
      <c r="S19"/>
      <c r="T19"/>
    </row>
    <row r="20" spans="2:20" ht="21" customHeight="1" thickTop="1">
      <c r="B20" s="363" t="str">
        <f>IF('KEY INPUTS'!C42 = "State Fiscal Year", 'KEY INPUTS'!F25,'KEY INPUTS'!D25)</f>
        <v>Balance - January 1, 2024</v>
      </c>
      <c r="C20" s="313"/>
      <c r="D20" s="313"/>
      <c r="E20" s="313"/>
      <c r="F20" s="313"/>
      <c r="G20" s="313"/>
      <c r="H20" s="313"/>
      <c r="I20" s="313"/>
      <c r="J20" s="313"/>
      <c r="K20" s="826" t="s">
        <v>627</v>
      </c>
      <c r="L20" s="486">
        <v>280525.24</v>
      </c>
      <c r="N20"/>
      <c r="O20"/>
      <c r="P20"/>
      <c r="Q20"/>
      <c r="R20"/>
      <c r="S20"/>
      <c r="T20"/>
    </row>
    <row r="21" spans="2:20" ht="21" customHeight="1">
      <c r="B21" s="524"/>
      <c r="C21" s="495"/>
      <c r="D21" s="495"/>
      <c r="E21" s="495"/>
      <c r="F21" s="495"/>
      <c r="G21" s="495"/>
      <c r="H21" s="495"/>
      <c r="I21" s="495"/>
      <c r="J21" s="495"/>
      <c r="K21" s="773"/>
      <c r="L21" s="479"/>
      <c r="N21"/>
      <c r="O21"/>
      <c r="P21"/>
      <c r="Q21"/>
      <c r="R21"/>
      <c r="S21"/>
      <c r="T21"/>
    </row>
    <row r="22" spans="2:20" ht="21" customHeight="1">
      <c r="B22" s="248" t="str">
        <f>"Excess in Results of "&amp;IF('KEY INPUTS'!C42="State Fiscal Year","Fiscal Year "&amp;'KEY INPUTS'!D33&amp;"",'KEY INPUTS'!D34)&amp;" Operations"</f>
        <v>Excess in Results of 2024 Operations</v>
      </c>
      <c r="C22" s="248"/>
      <c r="D22" s="248"/>
      <c r="E22" s="248"/>
      <c r="F22" s="248"/>
      <c r="G22" s="248"/>
      <c r="H22" s="248"/>
      <c r="I22" s="248"/>
      <c r="J22" s="248"/>
      <c r="K22" s="828" t="s">
        <v>627</v>
      </c>
      <c r="L22" s="832">
        <f>+K13</f>
        <v>75717.820000000022</v>
      </c>
    </row>
    <row r="23" spans="2:20" ht="21" customHeight="1">
      <c r="B23" s="248" t="str">
        <f>"Amount Appropriated in the "&amp;IF('KEY INPUTS'!C42="State Fiscal Year","FY "&amp;'KEY INPUTS'!D33&amp;"",'KEY INPUTS'!D34)&amp;" Budget - Cash"</f>
        <v>Amount Appropriated in the 2024 Budget - Cash</v>
      </c>
      <c r="C23" s="248"/>
      <c r="D23" s="248"/>
      <c r="E23" s="248"/>
      <c r="F23" s="248"/>
      <c r="G23" s="248"/>
      <c r="H23" s="248"/>
      <c r="I23" s="248"/>
      <c r="J23" s="248"/>
      <c r="K23" s="533">
        <f>'44-Utility1'!I7</f>
        <v>0</v>
      </c>
      <c r="L23" s="829" t="s">
        <v>627</v>
      </c>
    </row>
    <row r="24" spans="2:20">
      <c r="B24" s="267" t="str">
        <f>"Amount Appropriated in "&amp;IF('KEY INPUTS'!C42="State Fiscal Year","FY "&amp;'KEY INPUTS'!D33&amp;"",'KEY INPUTS'!D34)&amp;" Budget with Prior Written"</f>
        <v>Amount Appropriated in 2024 Budget with Prior Written</v>
      </c>
      <c r="K24" s="1382"/>
      <c r="L24" s="1384" t="s">
        <v>627</v>
      </c>
    </row>
    <row r="25" spans="2:20" ht="12.75" customHeight="1">
      <c r="B25" s="333" t="s">
        <v>841</v>
      </c>
      <c r="C25" s="333"/>
      <c r="D25" s="333"/>
      <c r="E25" s="333"/>
      <c r="F25" s="333"/>
      <c r="G25" s="333"/>
      <c r="H25" s="333"/>
      <c r="I25" s="333"/>
      <c r="J25" s="333"/>
      <c r="K25" s="1383"/>
      <c r="L25" s="1385"/>
    </row>
    <row r="26" spans="2:20" ht="21" customHeight="1">
      <c r="B26" s="524"/>
      <c r="C26" s="495"/>
      <c r="D26" s="495"/>
      <c r="E26" s="495"/>
      <c r="F26" s="495"/>
      <c r="G26" s="495"/>
      <c r="H26" s="495"/>
      <c r="I26" s="495"/>
      <c r="J26" s="495"/>
      <c r="K26" s="450"/>
      <c r="L26" s="825"/>
    </row>
    <row r="27" spans="2:20" ht="21" customHeight="1" thickBot="1">
      <c r="B27" s="248" t="str">
        <f>IF('KEY INPUTS'!C42 = "State Fiscal Year", 'KEY INPUTS'!F26,'KEY INPUTS'!D26)</f>
        <v>Balance - December 31, 2024</v>
      </c>
      <c r="C27" s="248"/>
      <c r="D27" s="248"/>
      <c r="E27" s="248"/>
      <c r="F27" s="248"/>
      <c r="G27" s="248"/>
      <c r="H27" s="248"/>
      <c r="I27" s="248"/>
      <c r="J27" s="248"/>
      <c r="K27" s="783">
        <f>+SUM(L20:L26)-SUM(K21:K26)</f>
        <v>356243.06</v>
      </c>
      <c r="L27" s="830" t="s">
        <v>627</v>
      </c>
      <c r="N27" s="593" t="s">
        <v>3246</v>
      </c>
    </row>
    <row r="28" spans="2:20" ht="21" customHeight="1" thickBot="1">
      <c r="K28" s="785">
        <f>SUM(K21:K27)</f>
        <v>356243.06</v>
      </c>
      <c r="L28" s="786">
        <f>SUM(L20:L27)</f>
        <v>356243.06</v>
      </c>
    </row>
    <row r="29" spans="2:20" ht="13.8" thickTop="1"/>
    <row r="32" spans="2:20" ht="17.399999999999999">
      <c r="B32" s="1380" t="str">
        <f>"ANALYSIS  OF  BALANCE  "&amp;IF('KEY INPUTS'!C42="State Fiscal Year","JUNE  30,  "&amp;'KEY INPUTS'!D33&amp;"","DECEMBER 31, "&amp;'KEY INPUTS'!D34&amp;"")</f>
        <v>ANALYSIS  OF  BALANCE  DECEMBER 31, 2024</v>
      </c>
      <c r="C32" s="1380"/>
      <c r="D32" s="1380"/>
      <c r="E32" s="1380"/>
      <c r="F32" s="1380"/>
      <c r="G32" s="1380"/>
      <c r="H32" s="1380"/>
      <c r="I32" s="1380"/>
      <c r="J32" s="1380"/>
      <c r="K32" s="1380"/>
      <c r="L32" s="1380"/>
    </row>
    <row r="33" spans="2:14" ht="17.399999999999999">
      <c r="B33" s="1381" t="str">
        <f>"(FROM "&amp;UPPER('KEY INPUTS'!D54)&amp;" UTILITY  -  TRIAL  BALANCE)"</f>
        <v>(FROM WATER UTILITY  -  TRIAL  BALANCE)</v>
      </c>
      <c r="C33" s="1381"/>
      <c r="D33" s="1381"/>
      <c r="E33" s="1381"/>
      <c r="F33" s="1381"/>
      <c r="G33" s="1381"/>
      <c r="H33" s="1381"/>
      <c r="I33" s="1381"/>
      <c r="J33" s="1381"/>
      <c r="K33" s="1381"/>
      <c r="L33" s="1381"/>
    </row>
    <row r="34" spans="2:14" ht="13.8" thickBot="1"/>
    <row r="35" spans="2:14" ht="21" customHeight="1" thickTop="1">
      <c r="B35" s="313" t="s">
        <v>194</v>
      </c>
      <c r="C35" s="313"/>
      <c r="D35" s="313"/>
      <c r="E35" s="313"/>
      <c r="F35" s="313"/>
      <c r="G35" s="313"/>
      <c r="H35" s="313"/>
      <c r="I35" s="313"/>
      <c r="J35" s="313"/>
      <c r="K35" s="409"/>
      <c r="L35" s="833">
        <f>+'41-Utility1'!G13</f>
        <v>504286.28</v>
      </c>
    </row>
    <row r="36" spans="2:14" ht="21" customHeight="1">
      <c r="B36" s="248" t="s">
        <v>315</v>
      </c>
      <c r="C36" s="248"/>
      <c r="D36" s="248"/>
      <c r="E36" s="248"/>
      <c r="F36" s="248"/>
      <c r="G36" s="248"/>
      <c r="H36" s="248"/>
      <c r="I36" s="248"/>
      <c r="J36" s="248"/>
      <c r="K36" s="407"/>
      <c r="L36" s="479"/>
    </row>
    <row r="37" spans="2:14" ht="21" customHeight="1" thickBot="1">
      <c r="B37" s="248" t="s">
        <v>663</v>
      </c>
      <c r="C37" s="248"/>
      <c r="D37" s="248"/>
      <c r="E37" s="248"/>
      <c r="F37" s="248"/>
      <c r="G37" s="248"/>
      <c r="H37" s="248"/>
      <c r="I37" s="248"/>
      <c r="J37" s="248"/>
      <c r="K37" s="407"/>
      <c r="L37" s="481">
        <f>17637.7+92894.43</f>
        <v>110532.12999999999</v>
      </c>
    </row>
    <row r="38" spans="2:14" ht="21" customHeight="1" thickTop="1">
      <c r="B38" s="248"/>
      <c r="C38" s="248"/>
      <c r="D38" s="248" t="s">
        <v>317</v>
      </c>
      <c r="E38" s="248"/>
      <c r="F38" s="248"/>
      <c r="G38" s="248"/>
      <c r="H38" s="248"/>
      <c r="I38" s="248"/>
      <c r="J38" s="248"/>
      <c r="K38" s="407"/>
      <c r="L38" s="834">
        <f>SUM(L35:L37)</f>
        <v>614818.41</v>
      </c>
    </row>
    <row r="39" spans="2:14" ht="21" customHeight="1" thickBot="1">
      <c r="B39" s="248" t="s">
        <v>362</v>
      </c>
      <c r="C39" s="248"/>
      <c r="D39" s="248"/>
      <c r="E39" s="248"/>
      <c r="F39" s="248"/>
      <c r="G39" s="248"/>
      <c r="H39" s="248"/>
      <c r="I39" s="248"/>
      <c r="J39" s="248"/>
      <c r="K39" s="407"/>
      <c r="L39" s="835">
        <f>+'41-Utility1'!H39</f>
        <v>258575.35</v>
      </c>
    </row>
    <row r="40" spans="2:14" ht="21" customHeight="1" thickTop="1">
      <c r="B40" s="248"/>
      <c r="C40" s="248"/>
      <c r="D40" s="248" t="s">
        <v>207</v>
      </c>
      <c r="E40" s="248"/>
      <c r="F40" s="248"/>
      <c r="G40" s="248"/>
      <c r="H40" s="248"/>
      <c r="I40" s="248"/>
      <c r="J40" s="248"/>
      <c r="K40" s="407"/>
      <c r="L40" s="834">
        <f>+L38-L39</f>
        <v>356243.06000000006</v>
      </c>
    </row>
    <row r="41" spans="2:14" ht="21" customHeight="1">
      <c r="B41" s="248" t="s">
        <v>369</v>
      </c>
      <c r="C41" s="248"/>
      <c r="D41" s="248"/>
      <c r="E41" s="248"/>
      <c r="F41" s="248"/>
      <c r="G41" s="248"/>
      <c r="H41" s="248"/>
      <c r="I41" s="248"/>
      <c r="J41" s="248"/>
      <c r="K41" s="312"/>
      <c r="L41" s="777"/>
    </row>
    <row r="42" spans="2:14" ht="22.5" customHeight="1">
      <c r="B42" s="248"/>
      <c r="C42" s="1379" t="s">
        <v>365</v>
      </c>
      <c r="D42" s="1379"/>
      <c r="E42" s="1379"/>
      <c r="F42" s="1379"/>
      <c r="G42" s="1379"/>
      <c r="H42" s="838"/>
      <c r="I42" s="248"/>
      <c r="J42" s="248"/>
      <c r="K42" s="450"/>
      <c r="L42" s="777"/>
    </row>
    <row r="43" spans="2:14" ht="21" customHeight="1">
      <c r="B43" s="248"/>
      <c r="C43" s="248" t="s">
        <v>208</v>
      </c>
      <c r="D43" s="248"/>
      <c r="E43" s="248"/>
      <c r="F43" s="248"/>
      <c r="G43" s="248"/>
      <c r="H43" s="248"/>
      <c r="I43" s="248"/>
      <c r="J43" s="248"/>
      <c r="K43" s="450"/>
      <c r="L43" s="777"/>
      <c r="M43" s="301"/>
      <c r="N43" s="301"/>
    </row>
    <row r="44" spans="2:14" ht="21" customHeight="1" thickBot="1">
      <c r="B44" s="248"/>
      <c r="C44" s="248"/>
      <c r="D44" s="248" t="s">
        <v>367</v>
      </c>
      <c r="E44" s="248"/>
      <c r="F44" s="248"/>
      <c r="G44" s="248"/>
      <c r="H44" s="248"/>
      <c r="I44" s="248"/>
      <c r="J44" s="248"/>
      <c r="K44" s="837"/>
      <c r="L44" s="784">
        <f>SUM(K42:K43)</f>
        <v>0</v>
      </c>
    </row>
    <row r="45" spans="2:14" ht="21" customHeight="1" thickBot="1">
      <c r="B45" s="361" t="str">
        <f>"# MAY NOT BE ANTICIPATED AS NON-CASH SURPLUS IN "&amp;TEXT('KEY INPUTS'!D34,"0")&amp;" BUDGET."</f>
        <v># MAY NOT BE ANTICIPATED AS NON-CASH SURPLUS IN 2024 BUDGET.</v>
      </c>
      <c r="K45" s="360"/>
      <c r="L45" s="836">
        <f>+L40+L44</f>
        <v>356243.06000000006</v>
      </c>
      <c r="M45" s="301"/>
      <c r="N45" s="593" t="s">
        <v>3246</v>
      </c>
    </row>
    <row r="46" spans="2:14" ht="13.8" thickTop="1">
      <c r="B46" s="359" t="s">
        <v>213</v>
      </c>
      <c r="C46" s="359"/>
    </row>
    <row r="47" spans="2:14">
      <c r="B47" s="359"/>
      <c r="C47" s="359" t="s">
        <v>3160</v>
      </c>
    </row>
    <row r="52" spans="2:12" ht="13.8">
      <c r="B52" s="1353" t="s">
        <v>3159</v>
      </c>
      <c r="C52" s="1353"/>
      <c r="D52" s="1353"/>
      <c r="E52" s="1353"/>
      <c r="F52" s="1353"/>
      <c r="G52" s="1353"/>
      <c r="H52" s="1353"/>
      <c r="I52" s="1353"/>
      <c r="J52" s="1353"/>
      <c r="K52" s="1353"/>
      <c r="L52" s="1353"/>
    </row>
  </sheetData>
  <sheetProtection algorithmName="SHA-512" hashValue="52yhDrpsj2HqMBlQrXTRKt1WHzqCrehcUHxRaE7S1DV860Yl3d4VyNyLVkhpkL7CIulZr2lsKVB/c8CMK2z/hA==" saltValue="vH0A8c4y3ccwJFn76f3O+A==" spinCount="100000" sheet="1" objects="1" scenarios="1"/>
  <mergeCells count="8">
    <mergeCell ref="B2:L2"/>
    <mergeCell ref="C42:G42"/>
    <mergeCell ref="B52:L52"/>
    <mergeCell ref="B17:L17"/>
    <mergeCell ref="B32:L32"/>
    <mergeCell ref="B33:L33"/>
    <mergeCell ref="K24:K25"/>
    <mergeCell ref="L24:L25"/>
  </mergeCells>
  <pageMargins left="0.25" right="0.25" top="0.5" bottom="0.5" header="0.25" footer="0.25"/>
  <pageSetup paperSize="5"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DD97A-5592-485B-9384-B88C4EA22B7A}">
  <sheetPr codeName="Sheet163">
    <tabColor theme="6" tint="0.39997558519241921"/>
  </sheetPr>
  <dimension ref="B3:T69"/>
  <sheetViews>
    <sheetView zoomScaleNormal="100" zoomScaleSheetLayoutView="80" workbookViewId="0">
      <selection activeCell="L12" sqref="L12"/>
    </sheetView>
  </sheetViews>
  <sheetFormatPr defaultColWidth="9.109375" defaultRowHeight="13.2"/>
  <cols>
    <col min="1" max="4" width="4.6640625" style="267" customWidth="1"/>
    <col min="5" max="8" width="9.109375" style="267"/>
    <col min="9" max="9" width="1.6640625" style="267" customWidth="1"/>
    <col min="10" max="10" width="16.6640625" style="267" customWidth="1"/>
    <col min="11" max="11" width="1.6640625" style="267" customWidth="1"/>
    <col min="12" max="12" width="16.6640625" style="267" customWidth="1"/>
    <col min="13" max="16384" width="9.109375" style="267"/>
  </cols>
  <sheetData>
    <row r="3" spans="2:20" ht="17.399999999999999">
      <c r="B3" s="1386" t="str">
        <f>"SCHEDULE  OF "&amp;UPPER('KEY INPUTS'!D54&amp;"  UTILITY  ACCOUNTS  RECEIVABLE")</f>
        <v>SCHEDULE  OF WATER  UTILITY  ACCOUNTS  RECEIVABLE</v>
      </c>
      <c r="C3" s="1386"/>
      <c r="D3" s="1386"/>
      <c r="E3" s="1386"/>
      <c r="F3" s="1386"/>
      <c r="G3" s="1386"/>
      <c r="H3" s="1386"/>
      <c r="I3" s="1386"/>
      <c r="J3" s="1386"/>
      <c r="K3" s="1386"/>
      <c r="L3" s="1386"/>
    </row>
    <row r="6" spans="2:20">
      <c r="B6" s="367" t="str">
        <f>IF('KEY INPUTS'!C42="State Fiscal Year","Balance June 30, "&amp;'KEY INPUTS'!D33-1&amp;"","Balance December 31, "&amp;'KEY INPUTS'!D34-1&amp;"")</f>
        <v>Balance December 31, 2023</v>
      </c>
      <c r="J6" s="61"/>
      <c r="K6" s="267" t="s">
        <v>373</v>
      </c>
      <c r="L6" s="431">
        <v>55357.26</v>
      </c>
      <c r="N6"/>
      <c r="O6"/>
      <c r="P6"/>
      <c r="Q6"/>
      <c r="R6"/>
      <c r="S6"/>
      <c r="T6"/>
    </row>
    <row r="7" spans="2:20">
      <c r="J7" s="61"/>
      <c r="K7" s="61"/>
      <c r="L7" s="61"/>
      <c r="N7"/>
      <c r="O7"/>
      <c r="P7"/>
      <c r="Q7"/>
      <c r="R7"/>
      <c r="S7"/>
      <c r="T7"/>
    </row>
    <row r="8" spans="2:20">
      <c r="J8" s="61"/>
      <c r="K8" s="61"/>
      <c r="L8" s="61"/>
      <c r="N8" s="294"/>
      <c r="O8"/>
      <c r="P8"/>
      <c r="Q8"/>
      <c r="R8"/>
      <c r="S8"/>
      <c r="T8"/>
    </row>
    <row r="9" spans="2:20">
      <c r="J9" s="61"/>
      <c r="K9" s="61"/>
      <c r="L9" s="61"/>
      <c r="N9"/>
      <c r="O9"/>
      <c r="P9"/>
      <c r="Q9"/>
      <c r="R9"/>
      <c r="S9"/>
      <c r="T9"/>
    </row>
    <row r="10" spans="2:20">
      <c r="B10" s="267" t="s">
        <v>214</v>
      </c>
      <c r="J10" s="61"/>
      <c r="K10" s="61"/>
      <c r="L10" s="61"/>
      <c r="N10"/>
      <c r="O10"/>
      <c r="P10"/>
      <c r="Q10"/>
      <c r="R10"/>
      <c r="S10"/>
      <c r="T10"/>
    </row>
    <row r="11" spans="2:20">
      <c r="D11" s="267" t="s">
        <v>3479</v>
      </c>
      <c r="J11" s="61"/>
      <c r="K11" s="267" t="s">
        <v>373</v>
      </c>
      <c r="L11" s="431">
        <v>465466.71</v>
      </c>
      <c r="N11"/>
      <c r="O11"/>
      <c r="P11"/>
      <c r="Q11"/>
      <c r="R11"/>
      <c r="S11"/>
      <c r="T11"/>
    </row>
    <row r="12" spans="2:20">
      <c r="J12" s="61"/>
      <c r="K12" s="61"/>
      <c r="L12" s="61"/>
      <c r="N12"/>
      <c r="O12"/>
      <c r="P12"/>
      <c r="Q12"/>
      <c r="R12"/>
      <c r="S12"/>
      <c r="T12"/>
    </row>
    <row r="13" spans="2:20">
      <c r="J13" s="61"/>
      <c r="K13" s="61"/>
      <c r="L13" s="61"/>
      <c r="N13"/>
      <c r="O13"/>
      <c r="P13"/>
      <c r="Q13"/>
      <c r="R13"/>
      <c r="S13"/>
      <c r="T13"/>
    </row>
    <row r="14" spans="2:20">
      <c r="J14" s="61"/>
      <c r="K14" s="61"/>
      <c r="L14" s="61"/>
      <c r="N14"/>
      <c r="O14"/>
      <c r="P14"/>
      <c r="Q14"/>
      <c r="R14"/>
      <c r="S14"/>
      <c r="T14"/>
    </row>
    <row r="15" spans="2:20">
      <c r="B15" s="267" t="s">
        <v>215</v>
      </c>
      <c r="J15" s="61"/>
      <c r="K15" s="61"/>
      <c r="L15" s="61"/>
      <c r="N15"/>
      <c r="O15"/>
      <c r="P15"/>
      <c r="Q15"/>
      <c r="R15"/>
      <c r="S15"/>
      <c r="T15"/>
    </row>
    <row r="16" spans="2:20" ht="21" customHeight="1">
      <c r="D16" s="267" t="s">
        <v>216</v>
      </c>
      <c r="I16" s="267" t="s">
        <v>373</v>
      </c>
      <c r="J16" s="431">
        <v>465466.71</v>
      </c>
      <c r="K16" s="61"/>
      <c r="L16" s="61"/>
      <c r="N16"/>
      <c r="O16"/>
      <c r="P16"/>
      <c r="Q16"/>
      <c r="R16"/>
      <c r="S16"/>
      <c r="T16"/>
    </row>
    <row r="17" spans="2:20" ht="21" customHeight="1">
      <c r="D17" s="267" t="s">
        <v>217</v>
      </c>
      <c r="I17" s="267" t="s">
        <v>373</v>
      </c>
      <c r="J17" s="431"/>
      <c r="K17" s="61"/>
      <c r="L17" s="61"/>
      <c r="N17"/>
      <c r="O17"/>
      <c r="P17"/>
      <c r="Q17"/>
      <c r="R17"/>
      <c r="S17"/>
      <c r="T17"/>
    </row>
    <row r="18" spans="2:20" ht="21" customHeight="1">
      <c r="D18" s="267" t="s">
        <v>3483</v>
      </c>
      <c r="I18" s="267" t="s">
        <v>373</v>
      </c>
      <c r="J18" s="431"/>
      <c r="K18" s="61"/>
      <c r="L18" s="61"/>
      <c r="N18"/>
      <c r="O18"/>
      <c r="P18"/>
      <c r="Q18"/>
      <c r="R18"/>
      <c r="S18"/>
      <c r="T18"/>
    </row>
    <row r="19" spans="2:20" ht="21" customHeight="1">
      <c r="D19" s="267" t="s">
        <v>218</v>
      </c>
      <c r="I19" s="267" t="s">
        <v>373</v>
      </c>
      <c r="J19" s="431"/>
      <c r="K19" s="61"/>
      <c r="L19" s="61"/>
      <c r="N19"/>
      <c r="O19"/>
      <c r="P19"/>
      <c r="Q19"/>
      <c r="R19"/>
      <c r="S19"/>
      <c r="T19"/>
    </row>
    <row r="20" spans="2:20">
      <c r="J20" s="61"/>
      <c r="K20" s="61"/>
      <c r="L20" s="61"/>
      <c r="N20"/>
      <c r="O20"/>
      <c r="P20"/>
      <c r="Q20"/>
      <c r="R20"/>
      <c r="S20"/>
      <c r="T20"/>
    </row>
    <row r="21" spans="2:20">
      <c r="J21" s="61"/>
      <c r="K21" s="267" t="s">
        <v>373</v>
      </c>
      <c r="L21" s="63">
        <f>SUM(J16:J19)</f>
        <v>465466.71</v>
      </c>
      <c r="N21"/>
      <c r="O21"/>
      <c r="P21"/>
      <c r="Q21"/>
      <c r="R21"/>
      <c r="S21"/>
      <c r="T21"/>
    </row>
    <row r="22" spans="2:20">
      <c r="J22" s="61"/>
      <c r="K22" s="61"/>
      <c r="L22" s="61"/>
      <c r="N22"/>
      <c r="O22"/>
      <c r="P22"/>
      <c r="Q22"/>
      <c r="R22"/>
      <c r="S22"/>
      <c r="T22"/>
    </row>
    <row r="23" spans="2:20">
      <c r="J23" s="61"/>
      <c r="K23" s="61"/>
      <c r="L23" s="61"/>
    </row>
    <row r="24" spans="2:20" ht="13.8" thickBot="1">
      <c r="B24" s="367" t="str">
        <f>IF('KEY INPUTS'!C42="State Fiscal Year","Balance June 30, "&amp;'KEY INPUTS'!D33&amp;"","Balance December 31, "&amp;'KEY INPUTS'!D34&amp;"")</f>
        <v>Balance December 31, 2024</v>
      </c>
      <c r="J24" s="61"/>
      <c r="K24" s="267" t="s">
        <v>373</v>
      </c>
      <c r="L24" s="80">
        <f>+L6+L11-L21</f>
        <v>55357.260000000009</v>
      </c>
    </row>
    <row r="25" spans="2:20" ht="13.8" thickTop="1"/>
    <row r="28" spans="2:20">
      <c r="B28" s="333"/>
      <c r="C28" s="333"/>
      <c r="D28" s="333"/>
      <c r="E28" s="333"/>
      <c r="F28" s="333"/>
      <c r="G28" s="333"/>
      <c r="H28" s="333"/>
      <c r="I28" s="333"/>
      <c r="J28" s="333"/>
      <c r="K28" s="333"/>
      <c r="L28" s="333"/>
    </row>
    <row r="29" spans="2:20" ht="4.5" customHeight="1">
      <c r="B29" s="333"/>
      <c r="C29" s="333"/>
      <c r="D29" s="333"/>
      <c r="E29" s="333"/>
      <c r="F29" s="333"/>
      <c r="G29" s="333"/>
      <c r="H29" s="333"/>
      <c r="I29" s="333"/>
      <c r="J29" s="333"/>
      <c r="K29" s="333"/>
      <c r="L29" s="333"/>
    </row>
    <row r="33" spans="2:12" ht="17.399999999999999">
      <c r="B33" s="1380" t="str">
        <f>"SCHEDULE  OF "&amp;UPPER('KEY INPUTS'!D54)&amp;" UTILITY  LIENS"</f>
        <v>SCHEDULE  OF WATER UTILITY  LIENS</v>
      </c>
      <c r="C33" s="1380"/>
      <c r="D33" s="1380"/>
      <c r="E33" s="1380"/>
      <c r="F33" s="1380"/>
      <c r="G33" s="1380"/>
      <c r="H33" s="1380"/>
      <c r="I33" s="1380"/>
      <c r="J33" s="1380"/>
      <c r="K33" s="1380"/>
      <c r="L33" s="1380"/>
    </row>
    <row r="36" spans="2:12">
      <c r="B36" s="367" t="str">
        <f>IF('KEY INPUTS'!C42="State Fiscal Year","Balance June 30, "&amp;'KEY INPUTS'!D33-1&amp;"","Balance December 31, "&amp;'KEY INPUTS'!D34-1&amp;"")</f>
        <v>Balance December 31, 2023</v>
      </c>
      <c r="I36" s="61"/>
      <c r="J36" s="61"/>
      <c r="K36" s="61" t="s">
        <v>373</v>
      </c>
      <c r="L36" s="431"/>
    </row>
    <row r="37" spans="2:12">
      <c r="I37" s="61"/>
      <c r="J37" s="61"/>
      <c r="K37" s="61"/>
      <c r="L37" s="61"/>
    </row>
    <row r="38" spans="2:12">
      <c r="I38" s="61"/>
      <c r="J38" s="61"/>
      <c r="K38" s="61"/>
      <c r="L38" s="61"/>
    </row>
    <row r="39" spans="2:12">
      <c r="I39" s="61"/>
      <c r="J39" s="61"/>
      <c r="K39" s="61"/>
      <c r="L39" s="61"/>
    </row>
    <row r="40" spans="2:12">
      <c r="B40" s="267" t="s">
        <v>214</v>
      </c>
      <c r="I40" s="61"/>
      <c r="J40" s="61"/>
      <c r="K40" s="61"/>
      <c r="L40" s="61"/>
    </row>
    <row r="41" spans="2:12" ht="21" customHeight="1">
      <c r="D41" s="267" t="s">
        <v>219</v>
      </c>
      <c r="I41" s="267" t="s">
        <v>373</v>
      </c>
      <c r="J41" s="431"/>
      <c r="K41" s="61"/>
      <c r="L41" s="61"/>
    </row>
    <row r="42" spans="2:12" ht="21" customHeight="1">
      <c r="D42" s="267" t="s">
        <v>220</v>
      </c>
      <c r="I42" s="267" t="s">
        <v>373</v>
      </c>
      <c r="J42" s="431"/>
      <c r="K42" s="61"/>
      <c r="L42" s="61"/>
    </row>
    <row r="43" spans="2:12" ht="21" customHeight="1">
      <c r="D43" s="267" t="s">
        <v>218</v>
      </c>
      <c r="I43" s="267" t="s">
        <v>373</v>
      </c>
      <c r="J43" s="431"/>
      <c r="K43" s="119"/>
      <c r="L43" s="119"/>
    </row>
    <row r="44" spans="2:12">
      <c r="I44" s="61"/>
      <c r="J44" s="61"/>
      <c r="K44" s="61"/>
      <c r="L44" s="61"/>
    </row>
    <row r="45" spans="2:12">
      <c r="I45" s="61"/>
      <c r="J45" s="61"/>
      <c r="K45" s="267" t="s">
        <v>373</v>
      </c>
      <c r="L45" s="63">
        <f>SUM(J41:J43)</f>
        <v>0</v>
      </c>
    </row>
    <row r="46" spans="2:12">
      <c r="I46" s="61"/>
      <c r="J46" s="61"/>
      <c r="K46" s="61"/>
      <c r="L46" s="61"/>
    </row>
    <row r="47" spans="2:12">
      <c r="B47" s="267" t="s">
        <v>215</v>
      </c>
      <c r="I47" s="61"/>
      <c r="J47" s="61"/>
      <c r="K47" s="61"/>
      <c r="L47" s="61"/>
    </row>
    <row r="48" spans="2:12" ht="21" customHeight="1">
      <c r="D48" s="267" t="s">
        <v>216</v>
      </c>
      <c r="I48" s="267" t="s">
        <v>373</v>
      </c>
      <c r="J48" s="431"/>
      <c r="K48" s="61"/>
      <c r="L48" s="61"/>
    </row>
    <row r="49" spans="2:12" ht="21" customHeight="1">
      <c r="D49" s="267" t="s">
        <v>218</v>
      </c>
      <c r="I49" s="267" t="s">
        <v>373</v>
      </c>
      <c r="J49" s="431"/>
      <c r="K49" s="61"/>
      <c r="L49" s="61"/>
    </row>
    <row r="50" spans="2:12">
      <c r="I50" s="61"/>
      <c r="J50" s="61"/>
      <c r="K50" s="61"/>
      <c r="L50" s="61"/>
    </row>
    <row r="51" spans="2:12">
      <c r="I51" s="61"/>
      <c r="J51" s="61"/>
      <c r="K51" s="267" t="s">
        <v>373</v>
      </c>
      <c r="L51" s="63">
        <f>+J49+J48</f>
        <v>0</v>
      </c>
    </row>
    <row r="52" spans="2:12">
      <c r="I52" s="61"/>
      <c r="J52" s="61"/>
      <c r="K52" s="61"/>
      <c r="L52" s="61"/>
    </row>
    <row r="53" spans="2:12">
      <c r="I53" s="61"/>
      <c r="J53" s="61"/>
      <c r="K53" s="61"/>
      <c r="L53" s="61"/>
    </row>
    <row r="54" spans="2:12" ht="13.8" thickBot="1">
      <c r="B54" s="367" t="str">
        <f>IF('KEY INPUTS'!C42="State Fiscal Year","Balance June 30, "&amp;'KEY INPUTS'!D33&amp;"","Balance December 31, "&amp;'KEY INPUTS'!D34&amp;"")</f>
        <v>Balance December 31, 2024</v>
      </c>
      <c r="I54" s="61"/>
      <c r="J54" s="61"/>
      <c r="K54" s="267" t="s">
        <v>373</v>
      </c>
      <c r="L54" s="80">
        <f>+L36+L45-L51</f>
        <v>0</v>
      </c>
    </row>
    <row r="55" spans="2:12" ht="13.8" thickTop="1">
      <c r="I55" s="61"/>
      <c r="J55" s="61"/>
      <c r="K55" s="61"/>
      <c r="L55" s="61"/>
    </row>
    <row r="69" spans="2:12" ht="13.8">
      <c r="B69" s="1353" t="s">
        <v>3163</v>
      </c>
      <c r="C69" s="1353"/>
      <c r="D69" s="1353"/>
      <c r="E69" s="1353"/>
      <c r="F69" s="1353"/>
      <c r="G69" s="1353"/>
      <c r="H69" s="1353"/>
      <c r="I69" s="1353"/>
      <c r="J69" s="1353"/>
      <c r="K69" s="1353"/>
      <c r="L69" s="1353"/>
    </row>
  </sheetData>
  <sheetProtection algorithmName="SHA-512" hashValue="GO5f7eGOO4tXZj4/q5DQN1qZDsEj0ZKv2fH20VxfVXX4Za0O4nRM6ac9plUrAxL5Mmw1JHE2kFAkD0Az3v0ldg==" saltValue="yXJ6dwsnSyTTLdqNnZLqYA=="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85083-3DEA-4E8F-AF59-0C11F424B84F}">
  <sheetPr codeName="Sheet164">
    <tabColor theme="6" tint="0.39997558519241921"/>
  </sheetPr>
  <dimension ref="B3:W69"/>
  <sheetViews>
    <sheetView zoomScaleNormal="100" zoomScaleSheetLayoutView="80" workbookViewId="0">
      <selection activeCell="T30" sqref="T30"/>
    </sheetView>
  </sheetViews>
  <sheetFormatPr defaultColWidth="9.109375" defaultRowHeight="13.2"/>
  <cols>
    <col min="1" max="4" width="4.6640625" style="267" customWidth="1"/>
    <col min="5" max="6" width="9.109375" style="267"/>
    <col min="7" max="7" width="1.6640625" style="267" customWidth="1"/>
    <col min="8" max="8" width="14.6640625" style="267" customWidth="1"/>
    <col min="9" max="9" width="1.6640625" style="267" customWidth="1"/>
    <col min="10" max="10" width="14.6640625" style="267" customWidth="1"/>
    <col min="11" max="11" width="1.6640625" style="267" customWidth="1"/>
    <col min="12" max="12" width="14.6640625" style="267" customWidth="1"/>
    <col min="13" max="13" width="1.6640625" style="267" customWidth="1"/>
    <col min="14" max="14" width="14.6640625" style="267" customWidth="1"/>
    <col min="15" max="16384" width="9.109375" style="267"/>
  </cols>
  <sheetData>
    <row r="3" spans="2:23" ht="20.399999999999999">
      <c r="B3" s="1363" t="s">
        <v>868</v>
      </c>
      <c r="C3" s="1363"/>
      <c r="D3" s="1363"/>
      <c r="E3" s="1363"/>
      <c r="F3" s="1363"/>
      <c r="G3" s="1363"/>
      <c r="H3" s="1363"/>
      <c r="I3" s="1363"/>
      <c r="J3" s="1363"/>
      <c r="K3" s="1363"/>
      <c r="L3" s="1363"/>
      <c r="M3" s="1363"/>
      <c r="N3" s="1363"/>
    </row>
    <row r="4" spans="2:23" ht="15.6">
      <c r="B4" s="1391" t="s">
        <v>421</v>
      </c>
      <c r="C4" s="1391"/>
      <c r="D4" s="1391"/>
      <c r="E4" s="1391"/>
      <c r="F4" s="1391"/>
      <c r="G4" s="1391"/>
      <c r="H4" s="1391"/>
      <c r="I4" s="1391"/>
      <c r="J4" s="1391"/>
      <c r="K4" s="1391"/>
      <c r="L4" s="1391"/>
      <c r="M4" s="1391"/>
      <c r="N4" s="1391"/>
    </row>
    <row r="5" spans="2:23" ht="20.399999999999999">
      <c r="B5" s="1363" t="str">
        <f>UPPER('KEY INPUTS'!D54)&amp;" UTILITY  FUND"</f>
        <v>WATER UTILITY  FUND</v>
      </c>
      <c r="C5" s="1363"/>
      <c r="D5" s="1363"/>
      <c r="E5" s="1363"/>
      <c r="F5" s="1363"/>
      <c r="G5" s="1363"/>
      <c r="H5" s="1363"/>
      <c r="I5" s="1363"/>
      <c r="J5" s="1363"/>
      <c r="K5" s="1363"/>
      <c r="L5" s="1363"/>
      <c r="M5" s="1363"/>
      <c r="N5" s="1363"/>
    </row>
    <row r="6" spans="2:23">
      <c r="B6" s="1392" t="s">
        <v>3572</v>
      </c>
      <c r="C6" s="1392"/>
      <c r="D6" s="1392"/>
      <c r="E6" s="1392"/>
      <c r="F6" s="1392"/>
      <c r="G6" s="1392"/>
      <c r="H6" s="1392"/>
      <c r="I6" s="1392"/>
      <c r="J6" s="1392"/>
      <c r="K6" s="1392"/>
      <c r="L6" s="1392"/>
      <c r="M6" s="1392"/>
      <c r="N6" s="1392"/>
    </row>
    <row r="8" spans="2:23">
      <c r="H8" s="302" t="s">
        <v>414</v>
      </c>
    </row>
    <row r="9" spans="2:23">
      <c r="C9" s="1389" t="s">
        <v>434</v>
      </c>
      <c r="D9" s="1389"/>
      <c r="E9" s="1389"/>
      <c r="H9" s="374" t="str">
        <f>IF('KEY INPUTS'!C42 = "State Fiscal Year", 'KEY INPUTS'!F46,'KEY INPUTS'!D46)</f>
        <v>Dec. 31, 2023</v>
      </c>
      <c r="J9" s="302" t="s">
        <v>435</v>
      </c>
      <c r="L9" s="302" t="s">
        <v>414</v>
      </c>
      <c r="N9" s="302" t="s">
        <v>529</v>
      </c>
    </row>
    <row r="10" spans="2:23">
      <c r="H10" s="302" t="s">
        <v>433</v>
      </c>
      <c r="J10" s="302" t="str">
        <f>IF('KEY INPUTS'!C42="State Fiscal Year","Fiscal Year "&amp;'KEY INPUTS'!D33&amp;"",'KEY INPUTS'!D34)&amp;""</f>
        <v>2024</v>
      </c>
      <c r="L10" s="302" t="s">
        <v>436</v>
      </c>
      <c r="N10" s="302" t="s">
        <v>437</v>
      </c>
    </row>
    <row r="11" spans="2:23">
      <c r="H11" s="369" t="s">
        <v>432</v>
      </c>
      <c r="J11" s="369" t="s">
        <v>534</v>
      </c>
      <c r="L11" s="369" t="str">
        <f>IF('KEY INPUTS'!C42="State Fiscal Year","Fiscal Year "&amp;'KEY INPUTS'!D33&amp;"",'KEY INPUTS'!D34)&amp;""</f>
        <v>2024</v>
      </c>
      <c r="N11" s="373" t="str">
        <f>IF('KEY INPUTS'!C42 = "State Fiscal Year", 'KEY INPUTS'!F47,'KEY INPUTS'!D47)</f>
        <v>Dec. 31, 2024</v>
      </c>
      <c r="Q11"/>
      <c r="R11"/>
      <c r="S11"/>
      <c r="T11"/>
      <c r="U11"/>
      <c r="V11"/>
      <c r="W11"/>
    </row>
    <row r="12" spans="2:23">
      <c r="B12" s="368" t="s">
        <v>292</v>
      </c>
      <c r="C12" s="267" t="s">
        <v>869</v>
      </c>
      <c r="Q12"/>
      <c r="R12"/>
      <c r="S12"/>
      <c r="T12"/>
      <c r="U12"/>
      <c r="V12"/>
      <c r="W12"/>
    </row>
    <row r="13" spans="2:23">
      <c r="B13" s="368"/>
      <c r="D13" s="267" t="s">
        <v>870</v>
      </c>
      <c r="G13" s="267" t="s">
        <v>373</v>
      </c>
      <c r="H13" s="431"/>
      <c r="I13" s="267" t="s">
        <v>373</v>
      </c>
      <c r="J13" s="431"/>
      <c r="K13" s="267" t="s">
        <v>373</v>
      </c>
      <c r="L13" s="431"/>
      <c r="M13" s="267" t="s">
        <v>373</v>
      </c>
      <c r="N13" s="515">
        <f>+H13-J13+L13</f>
        <v>0</v>
      </c>
      <c r="Q13" s="294"/>
      <c r="R13"/>
      <c r="S13"/>
      <c r="T13"/>
      <c r="U13"/>
      <c r="V13"/>
      <c r="W13"/>
    </row>
    <row r="14" spans="2:23">
      <c r="B14" s="368"/>
      <c r="H14" s="61"/>
      <c r="J14" s="61"/>
      <c r="L14" s="61"/>
      <c r="Q14"/>
      <c r="R14"/>
      <c r="S14"/>
      <c r="T14"/>
      <c r="U14"/>
      <c r="V14"/>
      <c r="W14"/>
    </row>
    <row r="15" spans="2:23" ht="21" customHeight="1">
      <c r="B15" s="368" t="s">
        <v>293</v>
      </c>
      <c r="C15" s="514" t="s">
        <v>3131</v>
      </c>
      <c r="D15" s="514"/>
      <c r="E15" s="514"/>
      <c r="F15" s="514"/>
      <c r="G15" s="267" t="s">
        <v>373</v>
      </c>
      <c r="H15" s="431"/>
      <c r="I15" s="267" t="s">
        <v>373</v>
      </c>
      <c r="J15" s="431"/>
      <c r="K15" s="267" t="s">
        <v>373</v>
      </c>
      <c r="L15" s="431"/>
      <c r="M15" s="267" t="s">
        <v>373</v>
      </c>
      <c r="N15" s="515">
        <f>+H15-J15+L15</f>
        <v>0</v>
      </c>
      <c r="Q15"/>
      <c r="R15"/>
      <c r="S15"/>
      <c r="T15"/>
      <c r="U15"/>
      <c r="V15"/>
      <c r="W15"/>
    </row>
    <row r="16" spans="2:23" ht="21" customHeight="1">
      <c r="B16" s="368" t="s">
        <v>294</v>
      </c>
      <c r="C16" s="514"/>
      <c r="D16" s="514"/>
      <c r="E16" s="514"/>
      <c r="F16" s="514"/>
      <c r="G16" s="267" t="s">
        <v>373</v>
      </c>
      <c r="H16" s="431"/>
      <c r="I16" s="267" t="s">
        <v>373</v>
      </c>
      <c r="J16" s="431"/>
      <c r="K16" s="267" t="s">
        <v>373</v>
      </c>
      <c r="L16" s="431"/>
      <c r="M16" s="267" t="s">
        <v>373</v>
      </c>
      <c r="N16" s="515">
        <f>+H16-J16+L16</f>
        <v>0</v>
      </c>
      <c r="Q16"/>
      <c r="R16"/>
      <c r="S16"/>
      <c r="T16"/>
      <c r="U16"/>
      <c r="V16"/>
      <c r="W16"/>
    </row>
    <row r="17" spans="2:23" ht="21" customHeight="1">
      <c r="B17" s="368" t="s">
        <v>295</v>
      </c>
      <c r="C17" s="514"/>
      <c r="D17" s="514"/>
      <c r="E17" s="514"/>
      <c r="F17" s="514"/>
      <c r="G17" s="267" t="s">
        <v>373</v>
      </c>
      <c r="H17" s="431"/>
      <c r="I17" s="267" t="s">
        <v>373</v>
      </c>
      <c r="J17" s="431"/>
      <c r="K17" s="267" t="s">
        <v>373</v>
      </c>
      <c r="L17" s="431"/>
      <c r="M17" s="267" t="s">
        <v>373</v>
      </c>
      <c r="N17" s="515">
        <f t="shared" ref="N17:N23" si="0">+H17-J17+L17</f>
        <v>0</v>
      </c>
      <c r="Q17"/>
      <c r="R17"/>
      <c r="S17"/>
      <c r="T17"/>
      <c r="U17"/>
      <c r="V17"/>
      <c r="W17"/>
    </row>
    <row r="18" spans="2:23" ht="21" customHeight="1">
      <c r="B18" s="368" t="s">
        <v>296</v>
      </c>
      <c r="C18" s="514"/>
      <c r="D18" s="514"/>
      <c r="E18" s="514"/>
      <c r="F18" s="514"/>
      <c r="G18" s="267" t="s">
        <v>373</v>
      </c>
      <c r="H18" s="431"/>
      <c r="I18" s="267" t="s">
        <v>373</v>
      </c>
      <c r="J18" s="431"/>
      <c r="K18" s="267" t="s">
        <v>373</v>
      </c>
      <c r="L18" s="431"/>
      <c r="M18" s="267" t="s">
        <v>373</v>
      </c>
      <c r="N18" s="515">
        <f t="shared" si="0"/>
        <v>0</v>
      </c>
      <c r="Q18"/>
      <c r="R18"/>
      <c r="S18"/>
      <c r="T18"/>
      <c r="U18"/>
      <c r="V18"/>
      <c r="W18"/>
    </row>
    <row r="19" spans="2:23" ht="21" customHeight="1">
      <c r="B19" s="368"/>
      <c r="C19" s="840" t="s">
        <v>3207</v>
      </c>
      <c r="D19" s="840"/>
      <c r="E19" s="840"/>
      <c r="F19" s="840"/>
      <c r="G19" s="574" t="s">
        <v>373</v>
      </c>
      <c r="H19" s="431"/>
      <c r="I19" s="574" t="s">
        <v>373</v>
      </c>
      <c r="J19" s="431"/>
      <c r="K19" s="574" t="s">
        <v>373</v>
      </c>
      <c r="L19" s="431"/>
      <c r="M19" s="267" t="s">
        <v>373</v>
      </c>
      <c r="N19" s="515">
        <f t="shared" si="0"/>
        <v>0</v>
      </c>
      <c r="Q19"/>
      <c r="R19"/>
      <c r="S19"/>
      <c r="T19"/>
      <c r="U19"/>
      <c r="V19"/>
      <c r="W19"/>
    </row>
    <row r="20" spans="2:23" ht="21" customHeight="1">
      <c r="B20" s="368"/>
      <c r="C20" s="841" t="s">
        <v>3208</v>
      </c>
      <c r="D20" s="333"/>
      <c r="E20" s="840"/>
      <c r="F20" s="840"/>
      <c r="G20" s="574" t="s">
        <v>373</v>
      </c>
      <c r="H20" s="839">
        <f>H13+H15+H16+H17+H18+H19</f>
        <v>0</v>
      </c>
      <c r="I20" s="574" t="s">
        <v>373</v>
      </c>
      <c r="J20" s="839">
        <f>J13+J15+J16+J17+J18+J19</f>
        <v>0</v>
      </c>
      <c r="K20" s="574" t="s">
        <v>373</v>
      </c>
      <c r="L20" s="839">
        <f>L13+L15+L16+L17+L18+L19</f>
        <v>0</v>
      </c>
      <c r="M20" s="267" t="s">
        <v>373</v>
      </c>
      <c r="N20" s="839">
        <f>N13+N15+N16+N17+N18+N19</f>
        <v>0</v>
      </c>
      <c r="Q20"/>
      <c r="R20"/>
      <c r="S20"/>
      <c r="T20"/>
      <c r="U20"/>
      <c r="V20"/>
      <c r="W20"/>
    </row>
    <row r="21" spans="2:23" ht="21" customHeight="1">
      <c r="B21" s="368" t="s">
        <v>297</v>
      </c>
      <c r="C21" s="514"/>
      <c r="D21" s="514"/>
      <c r="E21" s="514"/>
      <c r="F21" s="514"/>
      <c r="G21" s="267" t="s">
        <v>373</v>
      </c>
      <c r="H21" s="431"/>
      <c r="I21" s="267" t="s">
        <v>373</v>
      </c>
      <c r="J21" s="431"/>
      <c r="K21" s="267" t="s">
        <v>373</v>
      </c>
      <c r="L21" s="431"/>
      <c r="M21" s="267" t="s">
        <v>373</v>
      </c>
      <c r="N21" s="515">
        <f t="shared" si="0"/>
        <v>0</v>
      </c>
      <c r="Q21"/>
      <c r="R21"/>
      <c r="S21"/>
      <c r="T21"/>
      <c r="U21"/>
      <c r="V21"/>
      <c r="W21"/>
    </row>
    <row r="22" spans="2:23" ht="21" customHeight="1">
      <c r="B22" s="368" t="s">
        <v>298</v>
      </c>
      <c r="C22" s="514"/>
      <c r="D22" s="514"/>
      <c r="E22" s="514"/>
      <c r="F22" s="514"/>
      <c r="G22" s="267" t="s">
        <v>373</v>
      </c>
      <c r="H22" s="431"/>
      <c r="I22" s="267" t="s">
        <v>373</v>
      </c>
      <c r="J22" s="431"/>
      <c r="K22" s="267" t="s">
        <v>373</v>
      </c>
      <c r="L22" s="431"/>
      <c r="M22" s="267" t="s">
        <v>373</v>
      </c>
      <c r="N22" s="515">
        <f t="shared" si="0"/>
        <v>0</v>
      </c>
      <c r="Q22"/>
      <c r="R22"/>
      <c r="S22"/>
      <c r="T22"/>
      <c r="U22"/>
      <c r="V22"/>
      <c r="W22"/>
    </row>
    <row r="23" spans="2:23" ht="21" customHeight="1">
      <c r="B23" s="368"/>
      <c r="C23" s="907" t="s">
        <v>3480</v>
      </c>
      <c r="D23" s="840"/>
      <c r="E23" s="840"/>
      <c r="F23" s="840"/>
      <c r="G23" s="574" t="s">
        <v>373</v>
      </c>
      <c r="H23" s="839">
        <f>H21+H22</f>
        <v>0</v>
      </c>
      <c r="I23" s="574" t="s">
        <v>373</v>
      </c>
      <c r="J23" s="839">
        <f>J21+J22</f>
        <v>0</v>
      </c>
      <c r="K23" s="574" t="s">
        <v>373</v>
      </c>
      <c r="L23" s="839">
        <f>L21+L22</f>
        <v>0</v>
      </c>
      <c r="M23" s="267" t="s">
        <v>373</v>
      </c>
      <c r="N23" s="515">
        <f t="shared" si="0"/>
        <v>0</v>
      </c>
      <c r="Q23"/>
      <c r="R23"/>
      <c r="S23"/>
      <c r="T23"/>
      <c r="U23"/>
      <c r="V23"/>
      <c r="W23"/>
    </row>
    <row r="24" spans="2:23">
      <c r="B24" s="368"/>
      <c r="Q24"/>
      <c r="R24"/>
      <c r="S24"/>
      <c r="T24"/>
      <c r="U24"/>
      <c r="V24"/>
      <c r="W24"/>
    </row>
    <row r="25" spans="2:23">
      <c r="B25" s="368"/>
      <c r="C25" s="267" t="s">
        <v>872</v>
      </c>
      <c r="Q25"/>
      <c r="R25"/>
      <c r="S25"/>
      <c r="T25"/>
      <c r="U25"/>
      <c r="V25"/>
      <c r="W25"/>
    </row>
    <row r="26" spans="2:23">
      <c r="B26" s="368"/>
      <c r="Q26"/>
      <c r="R26"/>
      <c r="S26"/>
      <c r="T26"/>
      <c r="U26"/>
      <c r="V26"/>
      <c r="W26"/>
    </row>
    <row r="27" spans="2:23">
      <c r="B27" s="368"/>
      <c r="Q27"/>
      <c r="R27"/>
      <c r="S27"/>
      <c r="T27"/>
      <c r="U27"/>
      <c r="V27"/>
      <c r="W27"/>
    </row>
    <row r="28" spans="2:23" ht="15.6">
      <c r="B28" s="1388" t="s">
        <v>3354</v>
      </c>
      <c r="C28" s="1388"/>
      <c r="D28" s="1388"/>
      <c r="E28" s="1388"/>
      <c r="F28" s="1388"/>
      <c r="G28" s="1388"/>
      <c r="H28" s="1388"/>
      <c r="I28" s="1388"/>
      <c r="J28" s="1388"/>
      <c r="K28" s="1388"/>
      <c r="L28" s="1388"/>
      <c r="M28" s="1388"/>
      <c r="N28" s="1388"/>
    </row>
    <row r="29" spans="2:23" ht="15.6">
      <c r="B29" s="1388" t="s">
        <v>3573</v>
      </c>
      <c r="C29" s="1388"/>
      <c r="D29" s="1388"/>
      <c r="E29" s="1388"/>
      <c r="F29" s="1388"/>
      <c r="G29" s="1388"/>
      <c r="H29" s="1388"/>
      <c r="I29" s="1388"/>
      <c r="J29" s="1388"/>
      <c r="K29" s="1388"/>
      <c r="L29" s="1388"/>
      <c r="M29" s="1388"/>
      <c r="N29" s="1388"/>
    </row>
    <row r="30" spans="2:23" ht="6.75" customHeight="1">
      <c r="B30" s="372"/>
      <c r="C30" s="372"/>
      <c r="D30" s="372"/>
      <c r="E30" s="372"/>
      <c r="F30" s="372"/>
      <c r="G30" s="372"/>
      <c r="H30" s="372"/>
      <c r="I30" s="372"/>
      <c r="J30" s="372"/>
      <c r="K30" s="372"/>
      <c r="L30" s="372"/>
      <c r="M30" s="372"/>
      <c r="N30" s="372"/>
    </row>
    <row r="31" spans="2:23" ht="18" customHeight="1">
      <c r="B31" s="368"/>
      <c r="D31" s="1390" t="s">
        <v>17</v>
      </c>
      <c r="E31" s="1390"/>
      <c r="F31" s="371"/>
      <c r="G31" s="1390" t="s">
        <v>413</v>
      </c>
      <c r="H31" s="1390"/>
      <c r="I31" s="1390"/>
      <c r="J31" s="1390"/>
      <c r="K31" s="1390"/>
      <c r="L31" s="1390"/>
      <c r="M31" s="371"/>
      <c r="N31" s="370" t="s">
        <v>414</v>
      </c>
    </row>
    <row r="32" spans="2:23" ht="21" customHeight="1">
      <c r="B32" s="368"/>
      <c r="C32" s="368" t="s">
        <v>292</v>
      </c>
      <c r="D32" s="514"/>
      <c r="E32" s="514"/>
      <c r="G32" s="514"/>
      <c r="H32" s="514"/>
      <c r="I32" s="514"/>
      <c r="J32" s="514"/>
      <c r="K32" s="514"/>
      <c r="L32" s="514"/>
      <c r="M32" s="267" t="s">
        <v>373</v>
      </c>
      <c r="N32" s="293"/>
    </row>
    <row r="33" spans="2:14" ht="21" customHeight="1">
      <c r="B33" s="368"/>
      <c r="C33" s="368" t="s">
        <v>293</v>
      </c>
      <c r="D33" s="514"/>
      <c r="E33" s="514"/>
      <c r="G33" s="514"/>
      <c r="H33" s="514"/>
      <c r="I33" s="514"/>
      <c r="J33" s="514"/>
      <c r="K33" s="514"/>
      <c r="L33" s="514"/>
      <c r="M33" s="267" t="s">
        <v>373</v>
      </c>
      <c r="N33" s="293"/>
    </row>
    <row r="34" spans="2:14" ht="21" customHeight="1">
      <c r="B34" s="368"/>
      <c r="C34" s="368" t="s">
        <v>294</v>
      </c>
      <c r="D34" s="514"/>
      <c r="E34" s="514"/>
      <c r="G34" s="514"/>
      <c r="H34" s="514"/>
      <c r="I34" s="514"/>
      <c r="J34" s="514"/>
      <c r="K34" s="514"/>
      <c r="L34" s="514"/>
      <c r="M34" s="267" t="s">
        <v>373</v>
      </c>
      <c r="N34" s="293"/>
    </row>
    <row r="35" spans="2:14" ht="21" customHeight="1">
      <c r="B35" s="368"/>
      <c r="C35" s="368" t="s">
        <v>295</v>
      </c>
      <c r="D35" s="514"/>
      <c r="E35" s="514"/>
      <c r="G35" s="514"/>
      <c r="H35" s="514"/>
      <c r="I35" s="514"/>
      <c r="J35" s="514"/>
      <c r="K35" s="514"/>
      <c r="L35" s="514"/>
      <c r="M35" s="267" t="s">
        <v>373</v>
      </c>
      <c r="N35" s="293"/>
    </row>
    <row r="36" spans="2:14" ht="21" customHeight="1">
      <c r="B36" s="368"/>
      <c r="C36" s="368" t="s">
        <v>296</v>
      </c>
      <c r="D36" s="514"/>
      <c r="E36" s="514"/>
      <c r="G36" s="514"/>
      <c r="H36" s="514"/>
      <c r="I36" s="514"/>
      <c r="J36" s="514"/>
      <c r="K36" s="514"/>
      <c r="L36" s="514"/>
      <c r="M36" s="267" t="s">
        <v>373</v>
      </c>
      <c r="N36" s="293"/>
    </row>
    <row r="37" spans="2:14">
      <c r="B37" s="368"/>
    </row>
    <row r="38" spans="2:14">
      <c r="B38" s="368"/>
    </row>
    <row r="39" spans="2:14">
      <c r="B39" s="368"/>
    </row>
    <row r="40" spans="2:14" ht="15.6">
      <c r="B40" s="1388" t="s">
        <v>250</v>
      </c>
      <c r="C40" s="1388"/>
      <c r="D40" s="1388"/>
      <c r="E40" s="1388"/>
      <c r="F40" s="1388"/>
      <c r="G40" s="1388"/>
      <c r="H40" s="1388"/>
      <c r="I40" s="1388"/>
      <c r="J40" s="1388"/>
      <c r="K40" s="1388"/>
      <c r="L40" s="1388"/>
      <c r="M40" s="1388"/>
      <c r="N40" s="1388"/>
    </row>
    <row r="41" spans="2:14">
      <c r="B41" s="368"/>
    </row>
    <row r="42" spans="2:14">
      <c r="B42" s="368"/>
      <c r="N42" s="302" t="s">
        <v>419</v>
      </c>
    </row>
    <row r="43" spans="2:14">
      <c r="B43" s="368"/>
      <c r="N43" s="302" t="s">
        <v>420</v>
      </c>
    </row>
    <row r="44" spans="2:14">
      <c r="B44" s="368"/>
      <c r="D44" s="1389" t="s">
        <v>416</v>
      </c>
      <c r="E44" s="1389"/>
      <c r="H44" s="1389" t="s">
        <v>417</v>
      </c>
      <c r="I44" s="1389"/>
      <c r="J44" s="369" t="s">
        <v>418</v>
      </c>
      <c r="L44" s="369" t="s">
        <v>414</v>
      </c>
      <c r="N44" s="369" t="str">
        <f>IF('KEY INPUTS'!C42="State Fiscal Year","Fiscal Year "&amp;'KEY INPUTS'!D33&amp;"",'KEY INPUTS'!D34)&amp;""</f>
        <v>2024</v>
      </c>
    </row>
    <row r="45" spans="2:14">
      <c r="B45" s="368"/>
      <c r="D45" s="513"/>
      <c r="E45" s="513"/>
      <c r="F45" s="513"/>
      <c r="G45" s="513"/>
      <c r="H45" s="513"/>
      <c r="I45" s="513"/>
      <c r="J45" s="513"/>
    </row>
    <row r="46" spans="2:14" ht="21" customHeight="1">
      <c r="B46" s="368"/>
      <c r="C46" s="368" t="s">
        <v>292</v>
      </c>
      <c r="D46" s="514"/>
      <c r="E46" s="514"/>
      <c r="F46" s="514"/>
      <c r="G46" s="514"/>
      <c r="H46" s="514"/>
      <c r="I46" s="514"/>
      <c r="J46" s="514"/>
      <c r="K46" s="267" t="s">
        <v>373</v>
      </c>
      <c r="L46" s="293"/>
      <c r="M46" s="513"/>
      <c r="N46" s="293"/>
    </row>
    <row r="47" spans="2:14" ht="21" customHeight="1">
      <c r="B47" s="368"/>
      <c r="C47" s="368" t="s">
        <v>293</v>
      </c>
      <c r="D47" s="514"/>
      <c r="E47" s="514"/>
      <c r="F47" s="514"/>
      <c r="G47" s="514"/>
      <c r="H47" s="514"/>
      <c r="I47" s="514"/>
      <c r="J47" s="514"/>
      <c r="K47" s="267" t="s">
        <v>373</v>
      </c>
      <c r="L47" s="293"/>
      <c r="M47" s="513"/>
      <c r="N47" s="293"/>
    </row>
    <row r="48" spans="2:14" ht="21" customHeight="1">
      <c r="B48" s="368"/>
      <c r="C48" s="368" t="s">
        <v>294</v>
      </c>
      <c r="D48" s="514"/>
      <c r="E48" s="514"/>
      <c r="F48" s="514"/>
      <c r="G48" s="514"/>
      <c r="H48" s="514"/>
      <c r="I48" s="514"/>
      <c r="J48" s="514"/>
      <c r="K48" s="267" t="s">
        <v>373</v>
      </c>
      <c r="L48" s="293"/>
      <c r="M48" s="513"/>
      <c r="N48" s="293"/>
    </row>
    <row r="49" spans="2:14" ht="21" customHeight="1">
      <c r="B49" s="368"/>
      <c r="C49" s="368" t="s">
        <v>295</v>
      </c>
      <c r="D49" s="514"/>
      <c r="E49" s="514"/>
      <c r="F49" s="514"/>
      <c r="G49" s="514"/>
      <c r="H49" s="514"/>
      <c r="I49" s="514"/>
      <c r="J49" s="514"/>
      <c r="K49" s="267" t="s">
        <v>373</v>
      </c>
      <c r="L49" s="293"/>
      <c r="M49" s="513"/>
      <c r="N49" s="293"/>
    </row>
    <row r="50" spans="2:14">
      <c r="B50" s="368"/>
    </row>
    <row r="51" spans="2:14">
      <c r="B51" s="368"/>
    </row>
    <row r="52" spans="2:14">
      <c r="B52" s="368"/>
    </row>
    <row r="53" spans="2:14">
      <c r="B53" s="368"/>
    </row>
    <row r="54" spans="2:14">
      <c r="B54" s="368"/>
    </row>
    <row r="55" spans="2:14">
      <c r="B55" s="368"/>
    </row>
    <row r="56" spans="2:14">
      <c r="B56" s="368"/>
    </row>
    <row r="57" spans="2:14">
      <c r="B57" s="368"/>
    </row>
    <row r="58" spans="2:14">
      <c r="B58" s="368"/>
    </row>
    <row r="59" spans="2:14">
      <c r="B59" s="368"/>
    </row>
    <row r="60" spans="2:14">
      <c r="B60" s="368"/>
    </row>
    <row r="61" spans="2:14" ht="13.8">
      <c r="B61" s="1387" t="s">
        <v>3164</v>
      </c>
      <c r="C61" s="1387"/>
      <c r="D61" s="1387"/>
      <c r="E61" s="1387"/>
      <c r="F61" s="1387"/>
      <c r="G61" s="1387"/>
      <c r="H61" s="1387"/>
      <c r="I61" s="1387"/>
      <c r="J61" s="1387"/>
      <c r="K61" s="1387"/>
      <c r="L61" s="1387"/>
      <c r="M61" s="1387"/>
      <c r="N61" s="1387"/>
    </row>
    <row r="62" spans="2:14">
      <c r="B62" s="368"/>
    </row>
    <row r="63" spans="2:14">
      <c r="B63" s="368"/>
    </row>
    <row r="64" spans="2:14">
      <c r="B64" s="368"/>
    </row>
    <row r="65" spans="2:2">
      <c r="B65" s="368"/>
    </row>
    <row r="66" spans="2:2">
      <c r="B66" s="368"/>
    </row>
    <row r="67" spans="2:2">
      <c r="B67" s="368"/>
    </row>
    <row r="68" spans="2:2">
      <c r="B68" s="368"/>
    </row>
    <row r="69" spans="2:2">
      <c r="B69" s="368"/>
    </row>
  </sheetData>
  <sheetProtection algorithmName="SHA-512" hashValue="ccXVFkuTLI4crCVTF8Pdu73xs9m6ka/1N9nuxYi9s9lHXLPOnGa1PYeaFYyU0739EKcB0D7xZ3/QZmkGhAHKbw==" saltValue="Pc3/BkcU2RZkdyxDKTrKzQ==" spinCount="100000" sheet="1" objects="1" scenarios="1"/>
  <mergeCells count="13">
    <mergeCell ref="B61:N61"/>
    <mergeCell ref="B40:N40"/>
    <mergeCell ref="D44:E44"/>
    <mergeCell ref="H44:I44"/>
    <mergeCell ref="B3:N3"/>
    <mergeCell ref="B28:N28"/>
    <mergeCell ref="B29:N29"/>
    <mergeCell ref="D31:E31"/>
    <mergeCell ref="G31:L31"/>
    <mergeCell ref="B4:N4"/>
    <mergeCell ref="B5:N5"/>
    <mergeCell ref="B6:N6"/>
    <mergeCell ref="C9:E9"/>
  </mergeCells>
  <pageMargins left="0.25" right="0.25" top="0.5" bottom="0.5" header="0.25" footer="0.25"/>
  <pageSetup paperSize="5"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A4B1B-6EBA-4A90-BD78-275BBC1CD1E4}">
  <sheetPr codeName="Sheet300">
    <tabColor theme="6" tint="0.39997558519241921"/>
  </sheetPr>
  <dimension ref="A2:O36"/>
  <sheetViews>
    <sheetView zoomScaleNormal="100" workbookViewId="0">
      <selection activeCell="L24" sqref="L24"/>
    </sheetView>
  </sheetViews>
  <sheetFormatPr defaultColWidth="9.109375" defaultRowHeight="13.2"/>
  <cols>
    <col min="1" max="1" width="5.6640625" customWidth="1"/>
    <col min="2" max="4" width="4.88671875" customWidth="1"/>
    <col min="5" max="5" width="46.6640625" customWidth="1"/>
    <col min="6" max="6" width="7.6640625" customWidth="1"/>
    <col min="7" max="8" width="16.6640625" customWidth="1"/>
    <col min="9" max="12" width="15.6640625" customWidth="1"/>
    <col min="13" max="13" width="10.44140625" bestFit="1" customWidth="1"/>
  </cols>
  <sheetData>
    <row r="2" spans="1:15" ht="17.399999999999999">
      <c r="B2" s="1186" t="s">
        <v>3527</v>
      </c>
      <c r="C2" s="1186"/>
      <c r="D2" s="1186"/>
      <c r="E2" s="1186"/>
      <c r="F2" s="1186"/>
      <c r="G2" s="1186"/>
      <c r="H2" s="1186"/>
      <c r="I2" s="1186"/>
      <c r="J2" s="1186"/>
      <c r="K2" s="1186"/>
      <c r="L2" s="1186"/>
    </row>
    <row r="5" spans="1:15" ht="13.8" thickBot="1"/>
    <row r="6" spans="1:15" ht="13.8" thickTop="1">
      <c r="B6" s="11"/>
      <c r="C6" s="11"/>
      <c r="D6" s="11"/>
      <c r="E6" s="752"/>
      <c r="F6" s="11"/>
      <c r="G6" s="12"/>
      <c r="H6" s="51"/>
      <c r="I6" s="12"/>
      <c r="J6" s="11"/>
      <c r="K6" s="11"/>
      <c r="L6" s="18"/>
    </row>
    <row r="7" spans="1:15" ht="15.6">
      <c r="B7" s="1174" t="s">
        <v>17</v>
      </c>
      <c r="C7" s="1174"/>
      <c r="D7" s="1174"/>
      <c r="E7" s="1252" t="s">
        <v>413</v>
      </c>
      <c r="F7" s="1214"/>
      <c r="G7" s="13" t="s">
        <v>414</v>
      </c>
      <c r="H7" s="1" t="s">
        <v>442</v>
      </c>
      <c r="I7" s="13" t="s">
        <v>529</v>
      </c>
      <c r="J7" s="1192" t="str">
        <f>"REDUCED  IN  "&amp;IF('KEY INPUTS'!C42="State Fiscal Year","FY  "&amp;'KEY INPUTS'!D33&amp;"",'KEY INPUTS'!D34)&amp;""</f>
        <v>REDUCED  IN  2024</v>
      </c>
      <c r="K7" s="1194"/>
      <c r="L7" s="21" t="s">
        <v>529</v>
      </c>
    </row>
    <row r="8" spans="1:15">
      <c r="E8" s="70"/>
      <c r="G8" s="13" t="s">
        <v>441</v>
      </c>
      <c r="H8" s="1" t="s">
        <v>443</v>
      </c>
      <c r="I8" s="245" t="str">
        <f>IF('KEY INPUTS'!C42 = "State Fiscal Year", 'KEY INPUTS'!F46,'KEY INPUTS'!D46)</f>
        <v>Dec. 31, 2023</v>
      </c>
      <c r="J8" s="13" t="str">
        <f>"By "&amp;IF('KEY INPUTS'!C42="State Fiscal Year","FY "&amp;'KEY INPUTS'!D33&amp;"",'KEY INPUTS'!D34)&amp;""</f>
        <v>By 2024</v>
      </c>
      <c r="K8" s="13" t="s">
        <v>439</v>
      </c>
      <c r="L8" s="244" t="str">
        <f>IF('KEY INPUTS'!C42 = "State Fiscal Year", 'KEY INPUTS'!F47,'KEY INPUTS'!D47)</f>
        <v>Dec. 31, 2024</v>
      </c>
    </row>
    <row r="9" spans="1:15" ht="13.8" thickBot="1">
      <c r="B9" s="10"/>
      <c r="C9" s="10"/>
      <c r="D9" s="10"/>
      <c r="E9" s="17"/>
      <c r="F9" s="10"/>
      <c r="G9" s="16"/>
      <c r="H9" s="29" t="s">
        <v>444</v>
      </c>
      <c r="I9" s="14"/>
      <c r="J9" s="16" t="s">
        <v>534</v>
      </c>
      <c r="K9" s="16" t="s">
        <v>440</v>
      </c>
      <c r="L9" s="19"/>
    </row>
    <row r="10" spans="1:15" ht="21" customHeight="1" thickTop="1">
      <c r="B10" s="1253"/>
      <c r="C10" s="1253"/>
      <c r="D10" s="1254"/>
      <c r="E10" s="441"/>
      <c r="F10" s="421"/>
      <c r="G10" s="442"/>
      <c r="H10" s="442"/>
      <c r="I10" s="443"/>
      <c r="J10" s="443"/>
      <c r="K10" s="443"/>
      <c r="L10" s="990">
        <f>+I10-J10-K10</f>
        <v>0</v>
      </c>
    </row>
    <row r="11" spans="1:15" ht="21" customHeight="1">
      <c r="B11" s="1255"/>
      <c r="C11" s="1156"/>
      <c r="D11" s="1256"/>
      <c r="E11" s="444"/>
      <c r="F11" s="423"/>
      <c r="G11" s="432"/>
      <c r="H11" s="432"/>
      <c r="I11" s="291"/>
      <c r="J11" s="291"/>
      <c r="K11" s="291"/>
      <c r="L11" s="991">
        <f>+I11-J11-K11</f>
        <v>0</v>
      </c>
      <c r="M11" s="204"/>
    </row>
    <row r="12" spans="1:15" ht="21" customHeight="1">
      <c r="B12" s="1255"/>
      <c r="C12" s="1156"/>
      <c r="D12" s="1256"/>
      <c r="E12" s="444"/>
      <c r="F12" s="423"/>
      <c r="G12" s="445"/>
      <c r="H12" s="432"/>
      <c r="I12" s="446"/>
      <c r="J12" s="291"/>
      <c r="K12" s="291"/>
      <c r="L12" s="991">
        <f t="shared" ref="L12:L23" si="0">+I12-J12-K12</f>
        <v>0</v>
      </c>
      <c r="M12" s="204"/>
    </row>
    <row r="13" spans="1:15" ht="21" customHeight="1">
      <c r="B13" s="1156"/>
      <c r="C13" s="1156"/>
      <c r="D13" s="1256"/>
      <c r="E13" s="444"/>
      <c r="F13" s="423"/>
      <c r="G13" s="432"/>
      <c r="H13" s="432"/>
      <c r="I13" s="291"/>
      <c r="J13" s="291"/>
      <c r="K13" s="291"/>
      <c r="L13" s="991">
        <f t="shared" si="0"/>
        <v>0</v>
      </c>
    </row>
    <row r="14" spans="1:15" ht="21" customHeight="1">
      <c r="B14" s="1255"/>
      <c r="C14" s="1156"/>
      <c r="D14" s="1256"/>
      <c r="E14" s="444"/>
      <c r="F14" s="423"/>
      <c r="G14" s="432"/>
      <c r="H14" s="432"/>
      <c r="I14" s="291"/>
      <c r="J14" s="291"/>
      <c r="K14" s="291"/>
      <c r="L14" s="991">
        <f t="shared" si="0"/>
        <v>0</v>
      </c>
      <c r="O14" s="294"/>
    </row>
    <row r="15" spans="1:15" ht="21" customHeight="1">
      <c r="B15" s="1255"/>
      <c r="C15" s="1156"/>
      <c r="D15" s="1256"/>
      <c r="E15" s="444"/>
      <c r="F15" s="423"/>
      <c r="G15" s="445"/>
      <c r="H15" s="432"/>
      <c r="I15" s="446"/>
      <c r="J15" s="291"/>
      <c r="K15" s="291"/>
      <c r="L15" s="991">
        <f t="shared" si="0"/>
        <v>0</v>
      </c>
    </row>
    <row r="16" spans="1:15" ht="21" customHeight="1">
      <c r="A16" s="1195" t="s">
        <v>3528</v>
      </c>
      <c r="B16" s="1156"/>
      <c r="C16" s="1156"/>
      <c r="D16" s="1256"/>
      <c r="E16" s="444"/>
      <c r="F16" s="423"/>
      <c r="G16" s="432"/>
      <c r="H16" s="432"/>
      <c r="I16" s="291"/>
      <c r="J16" s="291"/>
      <c r="K16" s="291"/>
      <c r="L16" s="991">
        <f t="shared" si="0"/>
        <v>0</v>
      </c>
    </row>
    <row r="17" spans="1:12" ht="21" customHeight="1">
      <c r="A17" s="1195"/>
      <c r="B17" s="1156"/>
      <c r="C17" s="1156"/>
      <c r="D17" s="1256"/>
      <c r="E17" s="444"/>
      <c r="F17" s="423"/>
      <c r="G17" s="432"/>
      <c r="H17" s="432"/>
      <c r="I17" s="291"/>
      <c r="J17" s="291"/>
      <c r="K17" s="291"/>
      <c r="L17" s="991">
        <f t="shared" si="0"/>
        <v>0</v>
      </c>
    </row>
    <row r="18" spans="1:12" ht="21" customHeight="1">
      <c r="A18" s="1195"/>
      <c r="B18" s="1156"/>
      <c r="C18" s="1156"/>
      <c r="D18" s="1256"/>
      <c r="E18" s="444"/>
      <c r="F18" s="423"/>
      <c r="G18" s="432"/>
      <c r="H18" s="432"/>
      <c r="I18" s="291"/>
      <c r="J18" s="291"/>
      <c r="K18" s="291"/>
      <c r="L18" s="991">
        <f t="shared" si="0"/>
        <v>0</v>
      </c>
    </row>
    <row r="19" spans="1:12" ht="21" customHeight="1">
      <c r="A19" s="265"/>
      <c r="B19" s="613"/>
      <c r="C19" s="613"/>
      <c r="D19" s="616"/>
      <c r="E19" s="444"/>
      <c r="F19" s="423"/>
      <c r="G19" s="432"/>
      <c r="H19" s="432"/>
      <c r="I19" s="291"/>
      <c r="J19" s="291"/>
      <c r="K19" s="291"/>
      <c r="L19" s="991">
        <f t="shared" si="0"/>
        <v>0</v>
      </c>
    </row>
    <row r="20" spans="1:12" ht="21" customHeight="1">
      <c r="A20" s="265"/>
      <c r="B20" s="613"/>
      <c r="C20" s="613"/>
      <c r="D20" s="616"/>
      <c r="E20" s="444"/>
      <c r="F20" s="423"/>
      <c r="G20" s="432"/>
      <c r="H20" s="432"/>
      <c r="I20" s="291"/>
      <c r="J20" s="291"/>
      <c r="K20" s="291"/>
      <c r="L20" s="991">
        <f t="shared" si="0"/>
        <v>0</v>
      </c>
    </row>
    <row r="21" spans="1:12" ht="21" customHeight="1">
      <c r="B21" s="1156"/>
      <c r="C21" s="1156"/>
      <c r="D21" s="1256"/>
      <c r="E21" s="444"/>
      <c r="F21" s="423"/>
      <c r="G21" s="432"/>
      <c r="H21" s="432"/>
      <c r="I21" s="291"/>
      <c r="J21" s="291"/>
      <c r="K21" s="291"/>
      <c r="L21" s="991">
        <f t="shared" si="0"/>
        <v>0</v>
      </c>
    </row>
    <row r="22" spans="1:12" ht="21" customHeight="1">
      <c r="B22" s="613"/>
      <c r="C22" s="613"/>
      <c r="D22" s="616"/>
      <c r="E22" s="444"/>
      <c r="F22" s="423"/>
      <c r="G22" s="432"/>
      <c r="H22" s="432"/>
      <c r="I22" s="291"/>
      <c r="J22" s="291"/>
      <c r="K22" s="291"/>
      <c r="L22" s="991">
        <f t="shared" si="0"/>
        <v>0</v>
      </c>
    </row>
    <row r="23" spans="1:12" ht="21" customHeight="1">
      <c r="B23" s="1156"/>
      <c r="C23" s="1156"/>
      <c r="D23" s="1256"/>
      <c r="E23" s="444"/>
      <c r="F23" s="423"/>
      <c r="G23" s="432"/>
      <c r="H23" s="432"/>
      <c r="I23" s="291"/>
      <c r="J23" s="291"/>
      <c r="K23" s="291"/>
      <c r="L23" s="991">
        <f t="shared" si="0"/>
        <v>0</v>
      </c>
    </row>
    <row r="24" spans="1:12" ht="21" customHeight="1" thickBot="1">
      <c r="F24" s="16" t="s">
        <v>639</v>
      </c>
      <c r="G24" s="724">
        <f t="shared" ref="G24:L24" si="1">SUM(G10:G23)</f>
        <v>0</v>
      </c>
      <c r="H24" s="724">
        <f t="shared" si="1"/>
        <v>0</v>
      </c>
      <c r="I24" s="724">
        <f t="shared" si="1"/>
        <v>0</v>
      </c>
      <c r="J24" s="724">
        <f t="shared" si="1"/>
        <v>0</v>
      </c>
      <c r="K24" s="724">
        <f t="shared" si="1"/>
        <v>0</v>
      </c>
      <c r="L24" s="640">
        <f t="shared" si="1"/>
        <v>0</v>
      </c>
    </row>
    <row r="25" spans="1:12" ht="12.75" customHeight="1" thickTop="1">
      <c r="I25" s="1"/>
      <c r="J25" s="1"/>
    </row>
    <row r="26" spans="1:12">
      <c r="B26" s="239" t="s">
        <v>3524</v>
      </c>
    </row>
    <row r="27" spans="1:12" ht="13.5" customHeight="1">
      <c r="B27" t="s">
        <v>123</v>
      </c>
    </row>
    <row r="28" spans="1:12" ht="13.5" customHeight="1">
      <c r="B28" s="34"/>
      <c r="J28" s="1164"/>
      <c r="K28" s="1164"/>
    </row>
    <row r="29" spans="1:12">
      <c r="J29" s="1257" t="s">
        <v>124</v>
      </c>
      <c r="K29" s="1257"/>
    </row>
    <row r="35" spans="9:12">
      <c r="L35" s="204">
        <f>+I24-J24-L24</f>
        <v>0</v>
      </c>
    </row>
    <row r="36" spans="9:12">
      <c r="I36" s="204"/>
      <c r="J36" s="204"/>
    </row>
  </sheetData>
  <sheetProtection algorithmName="SHA-512" hashValue="4p2Ey8Ot+N0gNIQ6uIzuNqqw3X67xOZjZi0t7iAtZzDE4TWL/nNSApheflCaUJDlUwoR0t9zQ2N24Ib2snzx1Q==" saltValue="EbeCYwgOqgkkj0RomA4joQ==" spinCount="100000" sheet="1" objects="1" scenarios="1"/>
  <mergeCells count="18">
    <mergeCell ref="A16:A18"/>
    <mergeCell ref="B16:D16"/>
    <mergeCell ref="B17:D17"/>
    <mergeCell ref="B18:D18"/>
    <mergeCell ref="B7:D7"/>
    <mergeCell ref="B10:D10"/>
    <mergeCell ref="B11:D11"/>
    <mergeCell ref="B12:D12"/>
    <mergeCell ref="B21:D21"/>
    <mergeCell ref="B23:D23"/>
    <mergeCell ref="J28:K28"/>
    <mergeCell ref="J29:K29"/>
    <mergeCell ref="B2:L2"/>
    <mergeCell ref="B13:D13"/>
    <mergeCell ref="B14:D14"/>
    <mergeCell ref="B15:D15"/>
    <mergeCell ref="E7:F7"/>
    <mergeCell ref="J7:K7"/>
  </mergeCells>
  <pageMargins left="0.25" right="0.25" top="0.5" bottom="0.5" header="0.25" footer="0.25"/>
  <pageSetup paperSize="5"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58F94-0300-4483-B7D8-76942E9D3519}">
  <sheetPr codeName="Sheet165">
    <tabColor theme="6" tint="0.39997558519241921"/>
  </sheetPr>
  <dimension ref="B2:U50"/>
  <sheetViews>
    <sheetView topLeftCell="A22" zoomScaleNormal="100" zoomScaleSheetLayoutView="80" workbookViewId="0">
      <selection activeCell="B33" sqref="B33"/>
    </sheetView>
  </sheetViews>
  <sheetFormatPr defaultColWidth="8.88671875" defaultRowHeight="13.2"/>
  <cols>
    <col min="1" max="4" width="4.6640625" style="267" customWidth="1"/>
    <col min="5" max="5" width="17.88671875" style="267" customWidth="1"/>
    <col min="6" max="6" width="8.88671875" style="267"/>
    <col min="7" max="7" width="16.6640625" style="267" customWidth="1"/>
    <col min="8" max="8" width="1.6640625" style="267" customWidth="1"/>
    <col min="9" max="9" width="15.6640625" style="267" customWidth="1"/>
    <col min="10" max="10" width="1.6640625" style="267" customWidth="1"/>
    <col min="11" max="11" width="8.6640625" style="267" customWidth="1"/>
    <col min="12" max="12" width="7.6640625" style="267" customWidth="1"/>
    <col min="13" max="15" width="8.88671875" style="267"/>
    <col min="16" max="17" width="10.33203125" style="267" bestFit="1" customWidth="1"/>
    <col min="18" max="16384" width="8.88671875" style="267"/>
  </cols>
  <sheetData>
    <row r="2" spans="2:21" ht="20.399999999999999">
      <c r="B2" s="1363" t="s">
        <v>127</v>
      </c>
      <c r="C2" s="1363"/>
      <c r="D2" s="1363"/>
      <c r="E2" s="1363"/>
      <c r="F2" s="1363"/>
      <c r="G2" s="1363"/>
      <c r="H2" s="1363"/>
      <c r="I2" s="1363"/>
      <c r="J2" s="1363"/>
      <c r="K2" s="1363"/>
      <c r="L2" s="1363"/>
    </row>
    <row r="3" spans="2:21" ht="20.399999999999999">
      <c r="B3" s="1363" t="str">
        <f>" AND  "&amp;IF('KEY INPUTS'!C42="State Fiscal Year","FISCAL  YEAR  "&amp;'KEY INPUTS'!D33+1&amp;"",'KEY INPUTS'!D34+1)&amp;"  DEBT  SERVICE  FOR  BONDS"</f>
        <v xml:space="preserve"> AND  2025  DEBT  SERVICE  FOR  BONDS</v>
      </c>
      <c r="C3" s="1363"/>
      <c r="D3" s="1363"/>
      <c r="E3" s="1363"/>
      <c r="F3" s="1363"/>
      <c r="G3" s="1363"/>
      <c r="H3" s="1363"/>
      <c r="I3" s="1363"/>
      <c r="J3" s="1363"/>
      <c r="K3" s="1363"/>
      <c r="L3" s="1363"/>
    </row>
    <row r="4" spans="2:21" ht="15.6">
      <c r="B4" s="1360" t="str">
        <f>UPPER('KEY INPUTS'!D54)&amp;"  UTILITY  ASSESSMENT  BONDS"</f>
        <v>WATER  UTILITY  ASSESSMENT  BONDS</v>
      </c>
      <c r="C4" s="1360"/>
      <c r="D4" s="1360"/>
      <c r="E4" s="1360"/>
      <c r="F4" s="1360"/>
      <c r="G4" s="1360"/>
      <c r="H4" s="1360"/>
      <c r="I4" s="1360"/>
      <c r="J4" s="1360"/>
      <c r="K4" s="1360"/>
      <c r="L4" s="1360"/>
    </row>
    <row r="5" spans="2:21" ht="9.75" customHeight="1" thickBot="1">
      <c r="B5" s="383"/>
      <c r="C5" s="383"/>
      <c r="D5" s="383"/>
      <c r="E5" s="383"/>
      <c r="F5" s="383"/>
      <c r="G5" s="383"/>
      <c r="H5" s="383"/>
      <c r="I5" s="383"/>
      <c r="J5" s="383"/>
      <c r="K5" s="383"/>
      <c r="L5" s="383"/>
    </row>
    <row r="6" spans="2:21" ht="27.75" customHeight="1" thickTop="1" thickBot="1">
      <c r="B6" s="364"/>
      <c r="C6" s="364"/>
      <c r="D6" s="364"/>
      <c r="E6" s="364"/>
      <c r="F6" s="364"/>
      <c r="G6" s="304" t="s">
        <v>96</v>
      </c>
      <c r="H6" s="1401" t="s">
        <v>97</v>
      </c>
      <c r="I6" s="1351"/>
      <c r="J6" s="1407" t="str">
        <f>IF('KEY INPUTS'!C42="State Fiscal Year","Fiscal Year "&amp;'KEY INPUTS'!D33+1&amp;"",'KEY INPUTS'!D34+1)&amp;"  Debt Service"</f>
        <v>2025  Debt Service</v>
      </c>
      <c r="K6" s="1407"/>
      <c r="L6" s="1407"/>
      <c r="O6"/>
      <c r="P6"/>
      <c r="Q6"/>
      <c r="R6"/>
      <c r="S6"/>
      <c r="T6"/>
      <c r="U6"/>
    </row>
    <row r="7" spans="2:21" ht="21" customHeight="1" thickTop="1">
      <c r="B7" s="363" t="str">
        <f>'32-Bond Schedule'!B7</f>
        <v>Outstanding - January 1, 2024</v>
      </c>
      <c r="C7" s="313"/>
      <c r="D7" s="313"/>
      <c r="E7" s="313"/>
      <c r="F7" s="313"/>
      <c r="G7" s="801" t="s">
        <v>627</v>
      </c>
      <c r="H7" s="1293"/>
      <c r="I7" s="1294"/>
      <c r="O7"/>
      <c r="P7"/>
      <c r="Q7"/>
      <c r="R7"/>
      <c r="S7"/>
      <c r="T7"/>
      <c r="U7"/>
    </row>
    <row r="8" spans="2:21" ht="21" customHeight="1">
      <c r="B8" s="248" t="s">
        <v>92</v>
      </c>
      <c r="C8" s="248"/>
      <c r="D8" s="248"/>
      <c r="E8" s="248"/>
      <c r="F8" s="248"/>
      <c r="G8" s="804" t="s">
        <v>627</v>
      </c>
      <c r="H8" s="1291"/>
      <c r="I8" s="1292"/>
      <c r="O8" s="294"/>
      <c r="P8"/>
      <c r="Q8"/>
      <c r="R8"/>
      <c r="S8"/>
      <c r="T8"/>
      <c r="U8"/>
    </row>
    <row r="9" spans="2:21" ht="21" customHeight="1">
      <c r="B9" s="248"/>
      <c r="C9" s="248"/>
      <c r="D9" s="248"/>
      <c r="E9" s="248"/>
      <c r="F9" s="248"/>
      <c r="G9" s="804"/>
      <c r="H9" s="382"/>
      <c r="I9" s="842"/>
      <c r="O9"/>
      <c r="P9"/>
      <c r="Q9"/>
      <c r="R9"/>
      <c r="S9"/>
      <c r="T9"/>
      <c r="U9"/>
    </row>
    <row r="10" spans="2:21" ht="21" customHeight="1">
      <c r="B10" s="248" t="s">
        <v>254</v>
      </c>
      <c r="C10" s="248"/>
      <c r="D10" s="248"/>
      <c r="E10" s="248"/>
      <c r="F10" s="248"/>
      <c r="G10" s="450"/>
      <c r="H10" s="1408" t="s">
        <v>627</v>
      </c>
      <c r="I10" s="1409"/>
      <c r="O10"/>
      <c r="P10"/>
      <c r="Q10"/>
      <c r="R10"/>
      <c r="S10"/>
      <c r="T10"/>
      <c r="U10"/>
    </row>
    <row r="11" spans="2:21" ht="21" customHeight="1" thickBot="1">
      <c r="B11" s="248" t="str">
        <f>'32-Bond Schedule'!B11</f>
        <v>Outstanding - December 31, 2024</v>
      </c>
      <c r="C11" s="248"/>
      <c r="D11" s="248"/>
      <c r="E11" s="248"/>
      <c r="F11" s="248"/>
      <c r="G11" s="783">
        <f>+H7+H8-G10</f>
        <v>0</v>
      </c>
      <c r="H11" s="1405" t="s">
        <v>627</v>
      </c>
      <c r="I11" s="1406"/>
      <c r="O11"/>
      <c r="P11"/>
      <c r="Q11"/>
      <c r="R11"/>
      <c r="S11"/>
      <c r="T11"/>
      <c r="U11"/>
    </row>
    <row r="12" spans="2:21" ht="21" customHeight="1" thickBot="1">
      <c r="G12" s="785">
        <f>SUM(G7:G11)</f>
        <v>0</v>
      </c>
      <c r="H12" s="1393">
        <f>SUM(H7:I11)</f>
        <v>0</v>
      </c>
      <c r="I12" s="1394"/>
      <c r="O12"/>
      <c r="P12"/>
      <c r="Q12"/>
      <c r="R12"/>
      <c r="S12"/>
      <c r="T12"/>
      <c r="U12"/>
    </row>
    <row r="13" spans="2:21" ht="21" customHeight="1" thickTop="1">
      <c r="B13" s="333" t="str">
        <f>IF('KEY INPUTS'!C42="State Fiscal Year","Fiscal Year "&amp;'KEY INPUTS'!D33+1&amp;"",'KEY INPUTS'!D34+1)&amp;" Bond Maturities - Assessment Bonds"</f>
        <v>2025 Bond Maturities - Assessment Bonds</v>
      </c>
      <c r="C13" s="333"/>
      <c r="D13" s="333"/>
      <c r="E13" s="333"/>
      <c r="F13" s="333"/>
      <c r="G13" s="333"/>
      <c r="H13" s="333"/>
      <c r="I13" s="381"/>
      <c r="J13" s="333" t="s">
        <v>373</v>
      </c>
      <c r="K13" s="1311"/>
      <c r="L13" s="1311"/>
      <c r="O13"/>
      <c r="P13"/>
      <c r="Q13"/>
      <c r="R13"/>
      <c r="S13"/>
      <c r="T13"/>
      <c r="U13"/>
    </row>
    <row r="14" spans="2:21" ht="21" customHeight="1" thickBot="1">
      <c r="B14" s="311" t="str">
        <f>IF('KEY INPUTS'!C42="State Fiscal Year","Fiscal Year "&amp;'KEY INPUTS'!D33+1&amp;"",'KEY INPUTS'!D34+1)&amp;" Interest on Bonds"</f>
        <v>2025 Interest on Bonds</v>
      </c>
      <c r="C14" s="311"/>
      <c r="D14" s="311"/>
      <c r="E14" s="311"/>
      <c r="F14" s="311"/>
      <c r="G14" s="380"/>
      <c r="H14" s="311" t="s">
        <v>373</v>
      </c>
      <c r="I14" s="456"/>
      <c r="O14"/>
      <c r="P14"/>
      <c r="Q14"/>
      <c r="R14"/>
      <c r="S14"/>
      <c r="T14"/>
      <c r="U14"/>
    </row>
    <row r="15" spans="2:21" ht="16.5" customHeight="1" thickTop="1">
      <c r="B15" s="1402"/>
      <c r="C15" s="1402"/>
      <c r="D15" s="1402"/>
      <c r="E15" s="1402"/>
      <c r="F15" s="1402"/>
      <c r="G15" s="1402"/>
      <c r="H15" s="1402"/>
      <c r="I15" s="1403"/>
      <c r="O15"/>
      <c r="P15"/>
      <c r="Q15"/>
      <c r="R15"/>
      <c r="S15"/>
      <c r="T15"/>
      <c r="U15"/>
    </row>
    <row r="16" spans="2:21" ht="26.25" customHeight="1" thickBot="1">
      <c r="B16" s="1412" t="str">
        <f>UPPER('KEY INPUTS'!D54) &amp;"  UTILITY  CAPITAL  BONDS"</f>
        <v>WATER  UTILITY  CAPITAL  BONDS</v>
      </c>
      <c r="C16" s="1412"/>
      <c r="D16" s="1412"/>
      <c r="E16" s="1412"/>
      <c r="F16" s="1412"/>
      <c r="G16" s="1412"/>
      <c r="H16" s="1412"/>
      <c r="I16" s="1413"/>
      <c r="O16"/>
      <c r="P16"/>
      <c r="Q16"/>
      <c r="R16"/>
      <c r="S16"/>
      <c r="T16"/>
      <c r="U16"/>
    </row>
    <row r="17" spans="2:21" ht="21" customHeight="1" thickTop="1">
      <c r="B17" s="363" t="str">
        <f>B7</f>
        <v>Outstanding - January 1, 2024</v>
      </c>
      <c r="C17" s="313"/>
      <c r="D17" s="313"/>
      <c r="E17" s="313"/>
      <c r="F17" s="313"/>
      <c r="G17" s="801" t="s">
        <v>627</v>
      </c>
      <c r="H17" s="1293"/>
      <c r="I17" s="1294"/>
      <c r="O17"/>
      <c r="P17"/>
      <c r="Q17"/>
      <c r="R17"/>
      <c r="S17"/>
      <c r="T17"/>
      <c r="U17"/>
    </row>
    <row r="18" spans="2:21" ht="21" customHeight="1">
      <c r="B18" s="248" t="s">
        <v>92</v>
      </c>
      <c r="C18" s="248"/>
      <c r="D18" s="248"/>
      <c r="E18" s="248"/>
      <c r="F18" s="248"/>
      <c r="G18" s="804" t="s">
        <v>627</v>
      </c>
      <c r="H18" s="1291"/>
      <c r="I18" s="1292"/>
      <c r="O18"/>
      <c r="P18"/>
      <c r="Q18"/>
      <c r="R18"/>
      <c r="S18"/>
      <c r="T18"/>
      <c r="U18"/>
    </row>
    <row r="19" spans="2:21" ht="21" customHeight="1">
      <c r="B19" s="248" t="s">
        <v>254</v>
      </c>
      <c r="C19" s="248"/>
      <c r="D19" s="248"/>
      <c r="E19" s="248"/>
      <c r="F19" s="248"/>
      <c r="G19" s="450"/>
      <c r="H19" s="1408" t="s">
        <v>627</v>
      </c>
      <c r="I19" s="1409"/>
      <c r="O19"/>
      <c r="P19"/>
      <c r="Q19"/>
      <c r="R19"/>
      <c r="S19"/>
      <c r="T19"/>
      <c r="U19"/>
    </row>
    <row r="20" spans="2:21" ht="21" customHeight="1">
      <c r="B20" s="248"/>
      <c r="C20" s="248"/>
      <c r="D20" s="248"/>
      <c r="E20" s="248"/>
      <c r="F20" s="248"/>
      <c r="G20" s="533"/>
      <c r="H20" s="1395"/>
      <c r="I20" s="1396"/>
      <c r="O20"/>
      <c r="P20"/>
      <c r="Q20"/>
      <c r="R20"/>
      <c r="S20"/>
      <c r="T20"/>
      <c r="U20"/>
    </row>
    <row r="21" spans="2:21" ht="21" customHeight="1">
      <c r="B21" s="248"/>
      <c r="C21" s="248"/>
      <c r="D21" s="248"/>
      <c r="E21" s="248"/>
      <c r="F21" s="248"/>
      <c r="G21" s="533"/>
      <c r="H21" s="1395"/>
      <c r="I21" s="1396"/>
      <c r="O21"/>
      <c r="P21"/>
      <c r="Q21"/>
      <c r="R21"/>
      <c r="S21"/>
      <c r="T21"/>
      <c r="U21"/>
    </row>
    <row r="22" spans="2:21" ht="21" customHeight="1" thickBot="1">
      <c r="B22" s="248" t="str">
        <f>B11</f>
        <v>Outstanding - December 31, 2024</v>
      </c>
      <c r="C22" s="248"/>
      <c r="D22" s="248"/>
      <c r="E22" s="248"/>
      <c r="F22" s="248"/>
      <c r="G22" s="783">
        <f>+H17+H18-G19-G20-G21+H20+H21</f>
        <v>0</v>
      </c>
      <c r="H22" s="1405" t="s">
        <v>627</v>
      </c>
      <c r="I22" s="1406"/>
      <c r="O22"/>
      <c r="P22"/>
      <c r="Q22"/>
      <c r="R22"/>
      <c r="S22"/>
      <c r="T22"/>
      <c r="U22"/>
    </row>
    <row r="23" spans="2:21" ht="21" customHeight="1" thickBot="1">
      <c r="G23" s="785">
        <f>SUM(G17:G22)</f>
        <v>0</v>
      </c>
      <c r="H23" s="1393">
        <f>SUM(H17:I22)</f>
        <v>0</v>
      </c>
      <c r="I23" s="1394"/>
    </row>
    <row r="24" spans="2:21" ht="21" customHeight="1" thickTop="1">
      <c r="B24" s="333" t="str">
        <f>IF('KEY INPUTS'!C42="State Fiscal Year","Fiscal Year "&amp;'KEY INPUTS'!D33+1&amp;"",'KEY INPUTS'!D34+1)&amp;" Bond Maturities - Capital Bonds"</f>
        <v>2025 Bond Maturities - Capital Bonds</v>
      </c>
      <c r="C24" s="333"/>
      <c r="D24" s="333"/>
      <c r="E24" s="333"/>
      <c r="F24" s="333"/>
      <c r="G24" s="333"/>
      <c r="H24" s="333"/>
      <c r="I24" s="672"/>
      <c r="J24" s="333" t="s">
        <v>373</v>
      </c>
      <c r="K24" s="1311"/>
      <c r="L24" s="1311"/>
    </row>
    <row r="25" spans="2:21" ht="21" customHeight="1" thickBot="1">
      <c r="B25" s="311" t="str">
        <f>B14</f>
        <v>2025 Interest on Bonds</v>
      </c>
      <c r="C25" s="311"/>
      <c r="D25" s="311"/>
      <c r="E25" s="311"/>
      <c r="F25" s="311"/>
      <c r="G25" s="380"/>
      <c r="H25" s="311" t="s">
        <v>373</v>
      </c>
      <c r="I25" s="456"/>
      <c r="J25" s="375"/>
      <c r="K25" s="311"/>
      <c r="L25" s="311" t="s">
        <v>3131</v>
      </c>
    </row>
    <row r="26" spans="2:21" ht="21" customHeight="1" thickTop="1"/>
    <row r="27" spans="2:21" ht="19.5" customHeight="1" thickBot="1">
      <c r="B27" s="1412" t="str">
        <f>"INTEREST  ON  BONDS  -  "&amp;UPPER('KEY INPUTS'!D54)&amp;"  UTILITY  BUDGET"</f>
        <v>INTEREST  ON  BONDS  -  WATER  UTILITY  BUDGET</v>
      </c>
      <c r="C27" s="1412"/>
      <c r="D27" s="1412"/>
      <c r="E27" s="1412"/>
      <c r="F27" s="1412"/>
      <c r="G27" s="1412"/>
      <c r="H27" s="1412"/>
      <c r="I27" s="1412"/>
      <c r="J27" s="1412"/>
      <c r="K27" s="1412"/>
      <c r="L27" s="1412"/>
    </row>
    <row r="28" spans="2:21" ht="21" customHeight="1" thickTop="1">
      <c r="B28" s="313" t="str">
        <f>IF('KEY INPUTS'!C42="State Fiscal Year","Fiscal Year "&amp;'KEY INPUTS'!D33+1&amp;"",'KEY INPUTS'!D34+1)&amp;" Interest on Bonds (*Items)"</f>
        <v>2025 Interest on Bonds (*Items)</v>
      </c>
      <c r="C28" s="313"/>
      <c r="D28" s="313"/>
      <c r="E28" s="313"/>
      <c r="F28" s="313"/>
      <c r="G28" s="313"/>
      <c r="H28" s="313" t="s">
        <v>373</v>
      </c>
      <c r="I28" s="384">
        <f>+I14+I25</f>
        <v>0</v>
      </c>
      <c r="O28" s="355"/>
      <c r="P28" s="355"/>
      <c r="Q28" s="355"/>
      <c r="R28" s="355"/>
    </row>
    <row r="29" spans="2:21" ht="21" customHeight="1">
      <c r="B29" s="248" t="str">
        <f>"Less: Interest Accrued to "&amp;IF('KEY INPUTS'!C42="State Fiscal Year",(TEXT('KEY INPUTS'!F29,"mm/dd/yyy")),(TEXT('KEY INPUTS'!D29,"mm/dd/yyy")))&amp;" (Trial Balance)"</f>
        <v>Less: Interest Accrued to 12/31/2024 (Trial Balance)</v>
      </c>
      <c r="C29" s="248"/>
      <c r="D29" s="248"/>
      <c r="E29" s="248"/>
      <c r="F29" s="248"/>
      <c r="G29" s="248"/>
      <c r="H29" s="248" t="s">
        <v>373</v>
      </c>
      <c r="I29" s="517"/>
      <c r="O29" s="355"/>
      <c r="P29" s="355"/>
      <c r="Q29" s="355"/>
      <c r="R29" s="355"/>
    </row>
    <row r="30" spans="2:21" ht="21" customHeight="1">
      <c r="B30" s="248"/>
      <c r="C30" s="248" t="s">
        <v>317</v>
      </c>
      <c r="D30" s="248"/>
      <c r="E30" s="248"/>
      <c r="F30" s="248"/>
      <c r="G30" s="248"/>
      <c r="H30" s="248" t="s">
        <v>373</v>
      </c>
      <c r="I30" s="379">
        <f>+I28-I29</f>
        <v>0</v>
      </c>
      <c r="O30" s="355"/>
      <c r="P30" s="355"/>
      <c r="Q30" s="355"/>
      <c r="R30" s="355"/>
    </row>
    <row r="31" spans="2:21" ht="21" customHeight="1">
      <c r="B31" s="248" t="str">
        <f>"Add: Interest to be Accrued as of "&amp;IF('KEY INPUTS'!C42="State Fiscal Year",(TEXT('KEY INPUTS'!F30,"mm/dd/yyy")),(TEXT('KEY INPUTS'!D30,"mm/dd/yyy")))&amp;""</f>
        <v>Add: Interest to be Accrued as of 12/31/2025</v>
      </c>
      <c r="C31" s="248"/>
      <c r="D31" s="248"/>
      <c r="E31" s="248"/>
      <c r="F31" s="248"/>
      <c r="G31" s="248"/>
      <c r="H31" s="248" t="s">
        <v>373</v>
      </c>
      <c r="I31" s="517"/>
      <c r="O31" s="355"/>
      <c r="P31" s="355"/>
      <c r="Q31" s="355"/>
      <c r="R31" s="355"/>
    </row>
    <row r="32" spans="2:21" ht="21" customHeight="1">
      <c r="B32" s="248" t="str">
        <f>"Required Appropriation "&amp;IF('KEY INPUTS'!C42="State Fiscal Year","Fiscal Year "&amp;'KEY INPUTS'!D33+1&amp;"",'KEY INPUTS'!D34+1)&amp;""</f>
        <v>Required Appropriation 2025</v>
      </c>
      <c r="C32" s="248"/>
      <c r="D32" s="248"/>
      <c r="E32" s="248"/>
      <c r="F32" s="248"/>
      <c r="G32" s="248"/>
      <c r="H32" s="248"/>
      <c r="I32" s="673"/>
      <c r="J32" s="376" t="s">
        <v>373</v>
      </c>
      <c r="K32" s="1414">
        <f>+I30+I31</f>
        <v>0</v>
      </c>
      <c r="L32" s="1415"/>
      <c r="O32" s="355"/>
      <c r="P32" s="355"/>
      <c r="Q32" s="355"/>
      <c r="R32" s="355"/>
    </row>
    <row r="33" spans="2:12" ht="13.5" customHeight="1">
      <c r="K33" s="378"/>
      <c r="L33" s="302"/>
    </row>
    <row r="34" spans="2:12" ht="13.5" customHeight="1">
      <c r="K34" s="378"/>
      <c r="L34" s="302"/>
    </row>
    <row r="35" spans="2:12" ht="21" customHeight="1" thickBot="1">
      <c r="B35" s="1404" t="str">
        <f>"LIST  OF  BONDS  ISSUED  DURING  "&amp;IF('KEY INPUTS'!C42="State Fiscal Year","FISCAL  YEAR  "&amp;'KEY INPUTS'!D33&amp;"",'KEY INPUTS'!D34)&amp;""</f>
        <v>LIST  OF  BONDS  ISSUED  DURING  2024</v>
      </c>
      <c r="C35" s="1404"/>
      <c r="D35" s="1404"/>
      <c r="E35" s="1404"/>
      <c r="F35" s="1404"/>
      <c r="G35" s="1404"/>
      <c r="H35" s="1404"/>
      <c r="I35" s="1404"/>
      <c r="J35" s="1404"/>
      <c r="K35" s="1404"/>
      <c r="L35" s="1404"/>
    </row>
    <row r="36" spans="2:12" ht="27" customHeight="1" thickTop="1" thickBot="1">
      <c r="B36" s="1350" t="s">
        <v>413</v>
      </c>
      <c r="C36" s="1350"/>
      <c r="D36" s="1350"/>
      <c r="E36" s="1350"/>
      <c r="F36" s="1350"/>
      <c r="G36" s="304" t="str">
        <f>IF('KEY INPUTS'!C42="State Fiscal Year","FY "&amp;'KEY INPUTS'!D33+1&amp;"",'KEY INPUTS'!D34+1)&amp;" Maturity"</f>
        <v>2025 Maturity</v>
      </c>
      <c r="H36" s="1401" t="s">
        <v>91</v>
      </c>
      <c r="I36" s="1351"/>
      <c r="J36" s="1399" t="s">
        <v>89</v>
      </c>
      <c r="K36" s="1400"/>
      <c r="L36" s="377" t="s">
        <v>90</v>
      </c>
    </row>
    <row r="37" spans="2:12" ht="21" customHeight="1" thickTop="1">
      <c r="B37" s="518"/>
      <c r="C37" s="518"/>
      <c r="D37" s="518"/>
      <c r="E37" s="518"/>
      <c r="F37" s="518"/>
      <c r="G37" s="454"/>
      <c r="H37" s="1293"/>
      <c r="I37" s="1294"/>
      <c r="J37" s="1416"/>
      <c r="K37" s="1417"/>
      <c r="L37" s="671"/>
    </row>
    <row r="38" spans="2:12" ht="21" customHeight="1">
      <c r="B38" s="495"/>
      <c r="C38" s="495"/>
      <c r="D38" s="495"/>
      <c r="E38" s="495"/>
      <c r="F38" s="495"/>
      <c r="G38" s="450"/>
      <c r="H38" s="1291"/>
      <c r="I38" s="1292"/>
      <c r="J38" s="1397"/>
      <c r="K38" s="1398"/>
      <c r="L38" s="670"/>
    </row>
    <row r="39" spans="2:12" ht="21" customHeight="1">
      <c r="B39" s="495"/>
      <c r="C39" s="495"/>
      <c r="D39" s="495"/>
      <c r="E39" s="495"/>
      <c r="F39" s="495"/>
      <c r="G39" s="450"/>
      <c r="H39" s="1291"/>
      <c r="I39" s="1292"/>
      <c r="J39" s="1397"/>
      <c r="K39" s="1398"/>
      <c r="L39" s="670"/>
    </row>
    <row r="40" spans="2:12" ht="21" customHeight="1">
      <c r="B40" s="495"/>
      <c r="C40" s="495"/>
      <c r="D40" s="495"/>
      <c r="E40" s="495"/>
      <c r="F40" s="495"/>
      <c r="G40" s="450"/>
      <c r="H40" s="1291"/>
      <c r="I40" s="1292"/>
      <c r="J40" s="1397"/>
      <c r="K40" s="1398"/>
      <c r="L40" s="670"/>
    </row>
    <row r="41" spans="2:12" ht="21" customHeight="1" thickBot="1">
      <c r="B41" s="311"/>
      <c r="C41" s="311"/>
      <c r="D41" s="311"/>
      <c r="E41" s="311"/>
      <c r="F41" s="310"/>
      <c r="G41" s="785">
        <f>SUM(G37:G40)</f>
        <v>0</v>
      </c>
      <c r="H41" s="1410">
        <f>SUM(H37:I40)</f>
        <v>0</v>
      </c>
      <c r="I41" s="1411"/>
      <c r="J41" s="375"/>
      <c r="K41" s="311"/>
      <c r="L41" s="315"/>
    </row>
    <row r="42" spans="2:12" ht="13.8" thickTop="1">
      <c r="G42" s="347"/>
      <c r="H42" s="347"/>
      <c r="I42" s="347"/>
    </row>
    <row r="50" spans="2:12" ht="13.8">
      <c r="B50" s="1353" t="s">
        <v>3165</v>
      </c>
      <c r="C50" s="1353"/>
      <c r="D50" s="1353"/>
      <c r="E50" s="1353"/>
      <c r="F50" s="1353"/>
      <c r="G50" s="1353"/>
      <c r="H50" s="1353"/>
      <c r="I50" s="1353"/>
      <c r="J50" s="1353"/>
      <c r="K50" s="1353"/>
      <c r="L50" s="1353"/>
    </row>
  </sheetData>
  <sheetProtection algorithmName="SHA-512" hashValue="iXC5b4mXaATF1H6nwfZoDrf+oxhj93Yo5+vzBFkaSukUjwjieYJkv6O2jq0tsLUgnzTpv6EyRn9pXa+2UfA/6g==" saltValue="+Br9CjKu+d297Q5ASEzlzQ==" spinCount="100000" sheet="1" objects="1" scenarios="1"/>
  <mergeCells count="37">
    <mergeCell ref="H41:I41"/>
    <mergeCell ref="H39:I39"/>
    <mergeCell ref="H40:I40"/>
    <mergeCell ref="B16:I16"/>
    <mergeCell ref="B27:L27"/>
    <mergeCell ref="K32:L32"/>
    <mergeCell ref="J40:K40"/>
    <mergeCell ref="J37:K37"/>
    <mergeCell ref="J38:K38"/>
    <mergeCell ref="H37:I37"/>
    <mergeCell ref="K24:L24"/>
    <mergeCell ref="H10:I10"/>
    <mergeCell ref="H11:I11"/>
    <mergeCell ref="H17:I17"/>
    <mergeCell ref="H19:I19"/>
    <mergeCell ref="H18:I18"/>
    <mergeCell ref="B2:L2"/>
    <mergeCell ref="B3:L3"/>
    <mergeCell ref="B4:L4"/>
    <mergeCell ref="J6:L6"/>
    <mergeCell ref="H6:I6"/>
    <mergeCell ref="B50:L50"/>
    <mergeCell ref="H7:I7"/>
    <mergeCell ref="H8:I8"/>
    <mergeCell ref="H12:I12"/>
    <mergeCell ref="B36:F36"/>
    <mergeCell ref="K13:L13"/>
    <mergeCell ref="H23:I23"/>
    <mergeCell ref="H20:I20"/>
    <mergeCell ref="H21:I21"/>
    <mergeCell ref="J39:K39"/>
    <mergeCell ref="J36:K36"/>
    <mergeCell ref="H36:I36"/>
    <mergeCell ref="B15:I15"/>
    <mergeCell ref="B35:L35"/>
    <mergeCell ref="H38:I38"/>
    <mergeCell ref="H22:I22"/>
  </mergeCells>
  <pageMargins left="0.25" right="0.25" top="0.5" bottom="0.5" header="0.25" footer="0.25"/>
  <pageSetup paperSize="5"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87E06-2019-440F-AAC8-11ABE049359A}">
  <sheetPr codeName="Sheet166">
    <tabColor theme="6" tint="0.39997558519241921"/>
  </sheetPr>
  <dimension ref="B2:U51"/>
  <sheetViews>
    <sheetView topLeftCell="A9" zoomScaleNormal="100" zoomScaleSheetLayoutView="80" workbookViewId="0">
      <selection activeCell="O29" sqref="O29"/>
    </sheetView>
  </sheetViews>
  <sheetFormatPr defaultColWidth="9.109375" defaultRowHeight="13.2"/>
  <cols>
    <col min="1" max="3" width="4.6640625" style="267" customWidth="1"/>
    <col min="4" max="4" width="4.5546875" style="267" customWidth="1"/>
    <col min="5" max="5" width="17.88671875" style="267" customWidth="1"/>
    <col min="6" max="6" width="9.109375" style="267"/>
    <col min="7" max="7" width="16.6640625" style="267" customWidth="1"/>
    <col min="8" max="8" width="1.6640625" style="267" customWidth="1"/>
    <col min="9" max="9" width="15.6640625" style="267" customWidth="1"/>
    <col min="10" max="10" width="1.6640625" style="267" customWidth="1"/>
    <col min="11" max="11" width="8.6640625" style="267" customWidth="1"/>
    <col min="12" max="12" width="7.6640625" style="267" customWidth="1"/>
    <col min="13" max="16" width="9.109375" style="267"/>
    <col min="17" max="17" width="11.109375" style="267" bestFit="1" customWidth="1"/>
    <col min="18" max="18" width="14.44140625" style="267" customWidth="1"/>
    <col min="19" max="16384" width="9.109375" style="267"/>
  </cols>
  <sheetData>
    <row r="2" spans="2:21" ht="20.399999999999999">
      <c r="B2" s="1363" t="s">
        <v>480</v>
      </c>
      <c r="C2" s="1363"/>
      <c r="D2" s="1363"/>
      <c r="E2" s="1363"/>
      <c r="F2" s="1363"/>
      <c r="G2" s="1363"/>
      <c r="H2" s="1363"/>
      <c r="I2" s="1363"/>
      <c r="J2" s="1363"/>
      <c r="K2" s="1363"/>
      <c r="L2" s="1363"/>
    </row>
    <row r="3" spans="2:21" ht="21" thickBot="1">
      <c r="B3" s="1363" t="str">
        <f>" AND  "&amp;IF('KEY INPUTS'!C42="State Fiscal Year","FISCAL  YEAR  "&amp;'KEY INPUTS'!D33+1&amp;"",'KEY INPUTS'!D34+1)&amp;"  DEBT  SERVICE  FOR  LOANS"</f>
        <v xml:space="preserve"> AND  2025  DEBT  SERVICE  FOR  LOANS</v>
      </c>
      <c r="C3" s="1363"/>
      <c r="D3" s="1363"/>
      <c r="E3" s="1363"/>
      <c r="F3" s="1363"/>
      <c r="G3" s="1363"/>
      <c r="H3" s="1363"/>
      <c r="I3" s="1363"/>
      <c r="J3" s="1363"/>
      <c r="K3" s="1363"/>
      <c r="L3" s="1363"/>
    </row>
    <row r="4" spans="2:21" ht="16.2" thickBot="1">
      <c r="B4" s="1360" t="str">
        <f>UPPER('KEY INPUTS'!D$54)&amp;" UTILITY "&amp;IF(R4&lt;&gt;"",(UPPER(R4)),"")&amp;" LOAN"</f>
        <v>WATER UTILITY USDA LOAN</v>
      </c>
      <c r="C4" s="1360"/>
      <c r="D4" s="1360"/>
      <c r="E4" s="1360"/>
      <c r="F4" s="1360"/>
      <c r="G4" s="1360"/>
      <c r="H4" s="1360"/>
      <c r="I4" s="1360"/>
      <c r="J4" s="1360"/>
      <c r="K4" s="1360"/>
      <c r="L4" s="1360"/>
      <c r="Q4" s="1056" t="s">
        <v>3576</v>
      </c>
      <c r="R4" s="1057" t="s">
        <v>3683</v>
      </c>
    </row>
    <row r="5" spans="2:21" ht="9.75" customHeight="1" thickBot="1">
      <c r="B5" s="383"/>
      <c r="C5" s="383"/>
      <c r="D5" s="383"/>
      <c r="E5" s="383"/>
      <c r="F5" s="383"/>
      <c r="G5" s="383"/>
      <c r="H5" s="383"/>
      <c r="I5" s="383"/>
      <c r="J5" s="383"/>
      <c r="K5" s="383"/>
      <c r="L5" s="383"/>
    </row>
    <row r="6" spans="2:21" ht="27.75" customHeight="1" thickTop="1" thickBot="1">
      <c r="B6" s="364"/>
      <c r="C6" s="364"/>
      <c r="D6" s="364"/>
      <c r="E6" s="364"/>
      <c r="F6" s="364"/>
      <c r="G6" s="304" t="s">
        <v>96</v>
      </c>
      <c r="H6" s="1401" t="s">
        <v>97</v>
      </c>
      <c r="I6" s="1351"/>
      <c r="J6" s="1407" t="str">
        <f>IF('KEY INPUTS'!C42="State Fiscal Year","Fiscal Year "&amp;'KEY INPUTS'!D33+1&amp;"",'KEY INPUTS'!D34+1)&amp;"  Debt Service"</f>
        <v>2025  Debt Service</v>
      </c>
      <c r="K6" s="1407"/>
      <c r="L6" s="1407"/>
      <c r="O6"/>
      <c r="P6"/>
      <c r="Q6"/>
      <c r="R6"/>
      <c r="S6"/>
      <c r="T6"/>
      <c r="U6"/>
    </row>
    <row r="7" spans="2:21" ht="21" customHeight="1" thickTop="1">
      <c r="B7" s="363" t="str">
        <f>'49-Utility1'!B7</f>
        <v>Outstanding - January 1, 2024</v>
      </c>
      <c r="C7" s="313"/>
      <c r="D7" s="313"/>
      <c r="E7" s="313"/>
      <c r="F7" s="313"/>
      <c r="G7" s="137" t="s">
        <v>627</v>
      </c>
      <c r="H7" s="1293">
        <v>622899.97</v>
      </c>
      <c r="I7" s="1294"/>
      <c r="O7"/>
      <c r="P7"/>
      <c r="Q7"/>
      <c r="R7"/>
      <c r="S7"/>
      <c r="T7"/>
      <c r="U7"/>
    </row>
    <row r="8" spans="2:21" ht="21" customHeight="1">
      <c r="B8" s="248" t="s">
        <v>92</v>
      </c>
      <c r="C8" s="248"/>
      <c r="D8" s="248"/>
      <c r="E8" s="248"/>
      <c r="F8" s="248"/>
      <c r="G8" s="138" t="s">
        <v>627</v>
      </c>
      <c r="H8" s="1291"/>
      <c r="I8" s="1292"/>
      <c r="O8" s="294"/>
      <c r="P8"/>
      <c r="Q8"/>
      <c r="R8"/>
      <c r="S8"/>
      <c r="T8"/>
      <c r="U8"/>
    </row>
    <row r="9" spans="2:21" ht="21" customHeight="1">
      <c r="B9" s="495"/>
      <c r="C9" s="495"/>
      <c r="D9" s="495"/>
      <c r="E9" s="495"/>
      <c r="F9" s="495"/>
      <c r="G9" s="527"/>
      <c r="H9" s="1291"/>
      <c r="I9" s="1292"/>
      <c r="O9"/>
      <c r="P9"/>
      <c r="Q9"/>
      <c r="R9"/>
      <c r="S9"/>
      <c r="T9"/>
      <c r="U9"/>
    </row>
    <row r="10" spans="2:21" ht="21" customHeight="1">
      <c r="B10" s="248" t="s">
        <v>254</v>
      </c>
      <c r="C10" s="248"/>
      <c r="D10" s="248"/>
      <c r="E10" s="248"/>
      <c r="F10" s="248"/>
      <c r="G10" s="450">
        <v>27663.42</v>
      </c>
      <c r="H10" s="1266" t="s">
        <v>627</v>
      </c>
      <c r="I10" s="1267"/>
      <c r="O10"/>
      <c r="P10"/>
      <c r="Q10"/>
      <c r="R10"/>
      <c r="S10"/>
      <c r="T10"/>
      <c r="U10"/>
    </row>
    <row r="11" spans="2:21" ht="21" customHeight="1" thickBot="1">
      <c r="B11" s="248" t="str">
        <f>'49-Utility1'!B11</f>
        <v>Outstanding - December 31, 2024</v>
      </c>
      <c r="C11" s="248"/>
      <c r="D11" s="248"/>
      <c r="E11" s="248"/>
      <c r="F11" s="248"/>
      <c r="G11" s="133">
        <f>+H7+H8-G10+H9-G9</f>
        <v>595236.54999999993</v>
      </c>
      <c r="H11" s="1270" t="s">
        <v>627</v>
      </c>
      <c r="I11" s="1271"/>
      <c r="O11"/>
      <c r="P11"/>
      <c r="Q11"/>
      <c r="R11"/>
      <c r="S11"/>
      <c r="T11"/>
      <c r="U11"/>
    </row>
    <row r="12" spans="2:21" ht="21" customHeight="1" thickBot="1">
      <c r="G12" s="129">
        <f>SUM(G7:G11)</f>
        <v>622899.97</v>
      </c>
      <c r="H12" s="1315">
        <f>SUM(H7:I11)</f>
        <v>622899.97</v>
      </c>
      <c r="I12" s="1316"/>
      <c r="O12"/>
      <c r="P12"/>
      <c r="Q12"/>
      <c r="R12"/>
      <c r="S12"/>
      <c r="T12"/>
      <c r="U12"/>
    </row>
    <row r="13" spans="2:21" ht="21" customHeight="1" thickTop="1">
      <c r="B13" s="333" t="str">
        <f>IF('KEY INPUTS'!C42="State Fiscal Year","Fiscal Year "&amp;'KEY INPUTS'!D33+1&amp;"",'KEY INPUTS'!D34+1)&amp;" Loan Maturities"</f>
        <v>2025 Loan Maturities</v>
      </c>
      <c r="C13" s="333"/>
      <c r="D13" s="333"/>
      <c r="E13" s="333"/>
      <c r="F13" s="333"/>
      <c r="G13" s="333"/>
      <c r="H13" s="333"/>
      <c r="I13" s="381"/>
      <c r="J13" s="333" t="s">
        <v>373</v>
      </c>
      <c r="K13" s="1311">
        <v>28886.93</v>
      </c>
      <c r="L13" s="1311"/>
      <c r="O13"/>
      <c r="P13"/>
      <c r="Q13"/>
      <c r="R13"/>
      <c r="S13"/>
      <c r="T13"/>
      <c r="U13"/>
    </row>
    <row r="14" spans="2:21" ht="21" customHeight="1" thickBot="1">
      <c r="B14" s="311" t="str">
        <f>IF('KEY INPUTS'!C42="State Fiscal Year","Fiscal Year "&amp;'KEY INPUTS'!D33+1&amp;"",'KEY INPUTS'!D34+1)&amp;" Interest on Loans"</f>
        <v>2025 Interest on Loans</v>
      </c>
      <c r="C14" s="311"/>
      <c r="D14" s="311"/>
      <c r="E14" s="311"/>
      <c r="F14" s="311"/>
      <c r="G14" s="380"/>
      <c r="H14" s="311" t="s">
        <v>373</v>
      </c>
      <c r="I14" s="519">
        <v>25729.07</v>
      </c>
      <c r="O14"/>
      <c r="P14"/>
      <c r="Q14"/>
      <c r="R14"/>
      <c r="S14"/>
      <c r="T14"/>
      <c r="U14"/>
    </row>
    <row r="15" spans="2:21" ht="16.5" customHeight="1" thickTop="1" thickBot="1">
      <c r="B15" s="1402"/>
      <c r="C15" s="1402"/>
      <c r="D15" s="1402"/>
      <c r="E15" s="1402"/>
      <c r="F15" s="1402"/>
      <c r="G15" s="1402"/>
      <c r="H15" s="1402"/>
      <c r="I15" s="1403"/>
      <c r="O15"/>
      <c r="P15"/>
      <c r="Q15"/>
      <c r="R15"/>
      <c r="S15"/>
      <c r="T15"/>
      <c r="U15"/>
    </row>
    <row r="16" spans="2:21" ht="16.2" thickBot="1">
      <c r="B16" s="1420" t="str">
        <f>UPPER('KEY INPUTS'!D$54)&amp;" UTILITY "&amp;IF(R16&lt;&gt;"",(UPPER(R16)),"")&amp;" LOAN"</f>
        <v>WATER UTILITY USDA LOAN</v>
      </c>
      <c r="C16" s="1420"/>
      <c r="D16" s="1420"/>
      <c r="E16" s="1420"/>
      <c r="F16" s="1420"/>
      <c r="G16" s="1420"/>
      <c r="H16" s="1420"/>
      <c r="I16" s="1421"/>
      <c r="O16"/>
      <c r="P16"/>
      <c r="Q16" s="1056" t="s">
        <v>3576</v>
      </c>
      <c r="R16" s="1057" t="s">
        <v>3683</v>
      </c>
      <c r="S16"/>
      <c r="T16"/>
      <c r="U16"/>
    </row>
    <row r="17" spans="2:21" ht="21" customHeight="1" thickTop="1">
      <c r="B17" s="363" t="str">
        <f>B7</f>
        <v>Outstanding - January 1, 2024</v>
      </c>
      <c r="C17" s="313"/>
      <c r="D17" s="313"/>
      <c r="E17" s="313"/>
      <c r="F17" s="313"/>
      <c r="G17" s="137" t="s">
        <v>627</v>
      </c>
      <c r="H17" s="1293">
        <v>454016.69</v>
      </c>
      <c r="I17" s="1294"/>
      <c r="O17"/>
      <c r="P17"/>
      <c r="Q17"/>
      <c r="R17"/>
      <c r="S17"/>
      <c r="T17"/>
      <c r="U17"/>
    </row>
    <row r="18" spans="2:21" ht="21" customHeight="1">
      <c r="B18" s="248" t="s">
        <v>92</v>
      </c>
      <c r="C18" s="248"/>
      <c r="D18" s="248"/>
      <c r="E18" s="248"/>
      <c r="F18" s="248"/>
      <c r="G18" s="138" t="s">
        <v>627</v>
      </c>
      <c r="H18" s="1291"/>
      <c r="I18" s="1292"/>
      <c r="O18"/>
      <c r="P18"/>
      <c r="Q18"/>
      <c r="R18"/>
      <c r="S18"/>
      <c r="T18"/>
      <c r="U18"/>
    </row>
    <row r="19" spans="2:21" ht="21" customHeight="1">
      <c r="B19" s="248" t="s">
        <v>254</v>
      </c>
      <c r="C19" s="248"/>
      <c r="D19" s="248"/>
      <c r="E19" s="248"/>
      <c r="F19" s="248"/>
      <c r="G19" s="450">
        <v>9219.49</v>
      </c>
      <c r="H19" s="1266" t="s">
        <v>627</v>
      </c>
      <c r="I19" s="1267"/>
      <c r="O19"/>
      <c r="P19"/>
      <c r="Q19"/>
      <c r="R19"/>
      <c r="S19"/>
      <c r="T19"/>
      <c r="U19"/>
    </row>
    <row r="20" spans="2:21" ht="21" customHeight="1">
      <c r="B20" s="248"/>
      <c r="C20" s="248"/>
      <c r="D20" s="248"/>
      <c r="E20" s="248"/>
      <c r="F20" s="248"/>
      <c r="G20" s="114"/>
      <c r="H20" s="1418"/>
      <c r="I20" s="1419"/>
      <c r="O20"/>
      <c r="P20"/>
      <c r="Q20"/>
      <c r="R20"/>
      <c r="S20"/>
      <c r="T20"/>
      <c r="U20"/>
    </row>
    <row r="21" spans="2:21" ht="21" customHeight="1">
      <c r="B21" s="248"/>
      <c r="C21" s="248"/>
      <c r="D21" s="248"/>
      <c r="E21" s="248"/>
      <c r="F21" s="248"/>
      <c r="G21" s="114"/>
      <c r="H21" s="1418"/>
      <c r="I21" s="1419"/>
      <c r="O21"/>
      <c r="P21"/>
      <c r="Q21"/>
      <c r="R21"/>
      <c r="S21"/>
      <c r="T21"/>
      <c r="U21"/>
    </row>
    <row r="22" spans="2:21" ht="21" customHeight="1" thickBot="1">
      <c r="B22" s="248" t="str">
        <f>B11</f>
        <v>Outstanding - December 31, 2024</v>
      </c>
      <c r="C22" s="248"/>
      <c r="D22" s="248"/>
      <c r="E22" s="248"/>
      <c r="F22" s="248"/>
      <c r="G22" s="133">
        <f>+H17+H18-G19-G20-G21+H20+H21</f>
        <v>444797.2</v>
      </c>
      <c r="H22" s="1270" t="s">
        <v>627</v>
      </c>
      <c r="I22" s="1271"/>
      <c r="O22"/>
      <c r="P22"/>
      <c r="Q22"/>
      <c r="R22"/>
      <c r="S22"/>
      <c r="T22"/>
      <c r="U22"/>
    </row>
    <row r="23" spans="2:21" ht="21" customHeight="1" thickBot="1">
      <c r="G23" s="129">
        <f>SUM(G17:G22)</f>
        <v>454016.69</v>
      </c>
      <c r="H23" s="1315">
        <f>SUM(H17:I22)</f>
        <v>454016.69</v>
      </c>
      <c r="I23" s="1316"/>
    </row>
    <row r="24" spans="2:21" ht="21" customHeight="1" thickTop="1">
      <c r="B24" s="333" t="str">
        <f>B13</f>
        <v>2025 Loan Maturities</v>
      </c>
      <c r="C24" s="333"/>
      <c r="D24" s="333"/>
      <c r="E24" s="333"/>
      <c r="F24" s="333"/>
      <c r="G24" s="333"/>
      <c r="H24" s="333"/>
      <c r="I24" s="381"/>
      <c r="J24" s="333" t="s">
        <v>373</v>
      </c>
      <c r="K24" s="1311">
        <v>9474.77</v>
      </c>
      <c r="L24" s="1311"/>
    </row>
    <row r="25" spans="2:21" ht="21" customHeight="1" thickBot="1">
      <c r="B25" s="311" t="str">
        <f>B14</f>
        <v>2025 Interest on Loans</v>
      </c>
      <c r="C25" s="311"/>
      <c r="D25" s="311"/>
      <c r="E25" s="311"/>
      <c r="F25" s="311"/>
      <c r="G25" s="380"/>
      <c r="H25" s="311" t="s">
        <v>373</v>
      </c>
      <c r="I25" s="456">
        <v>12167.23</v>
      </c>
      <c r="J25" s="375"/>
      <c r="K25" s="311"/>
      <c r="L25" s="311"/>
    </row>
    <row r="26" spans="2:21" ht="21" customHeight="1" thickTop="1"/>
    <row r="27" spans="2:21" ht="19.5" customHeight="1" thickBot="1">
      <c r="B27" s="1420" t="str">
        <f>"INTEREST  ON  LOANS  - "&amp;UPPER('KEY INPUTS'!D54)&amp;"  UTILITY  BUDGET"</f>
        <v>INTEREST  ON  LOANS  - WATER  UTILITY  BUDGET</v>
      </c>
      <c r="C27" s="1420"/>
      <c r="D27" s="1420"/>
      <c r="E27" s="1420"/>
      <c r="F27" s="1420"/>
      <c r="G27" s="1420"/>
      <c r="H27" s="1420"/>
      <c r="I27" s="1420"/>
      <c r="J27" s="1420"/>
      <c r="K27" s="1420"/>
      <c r="L27" s="1420"/>
    </row>
    <row r="28" spans="2:21" ht="21" customHeight="1" thickTop="1">
      <c r="B28" s="313" t="str">
        <f>IF('KEY INPUTS'!C42="State Fiscal Year","Fiscal Year "&amp;'KEY INPUTS'!D33+1&amp;"",'KEY INPUTS'!D34+1)&amp;" Interest on Loans (*Items)"</f>
        <v>2025 Interest on Loans (*Items)</v>
      </c>
      <c r="C28" s="313"/>
      <c r="D28" s="313"/>
      <c r="E28" s="313"/>
      <c r="F28" s="313"/>
      <c r="G28" s="313"/>
      <c r="H28" s="313" t="s">
        <v>373</v>
      </c>
      <c r="I28" s="384">
        <f>+I25+I14</f>
        <v>37896.300000000003</v>
      </c>
    </row>
    <row r="29" spans="2:21" ht="21" customHeight="1">
      <c r="B29" s="248" t="str">
        <f>'49-Utility1'!B29</f>
        <v>Less: Interest Accrued to 12/31/2024 (Trial Balance)</v>
      </c>
      <c r="C29" s="248"/>
      <c r="D29" s="248"/>
      <c r="E29" s="248"/>
      <c r="F29" s="248"/>
      <c r="G29" s="248"/>
      <c r="H29" s="248" t="s">
        <v>373</v>
      </c>
      <c r="I29" s="449">
        <v>6857.39</v>
      </c>
    </row>
    <row r="30" spans="2:21" ht="21" customHeight="1">
      <c r="B30" s="248"/>
      <c r="C30" s="248" t="s">
        <v>317</v>
      </c>
      <c r="D30" s="248"/>
      <c r="E30" s="248"/>
      <c r="F30" s="248"/>
      <c r="G30" s="248"/>
      <c r="H30" s="248" t="s">
        <v>373</v>
      </c>
      <c r="I30" s="379">
        <f>+I28-I29</f>
        <v>31038.910000000003</v>
      </c>
    </row>
    <row r="31" spans="2:21" ht="21" customHeight="1">
      <c r="B31" s="248" t="str">
        <f>'49-Utility1'!B31</f>
        <v>Add: Interest to be Accrued as of 12/31/2025</v>
      </c>
      <c r="C31" s="248"/>
      <c r="D31" s="248"/>
      <c r="E31" s="248"/>
      <c r="F31" s="248"/>
      <c r="G31" s="248"/>
      <c r="H31" s="248" t="s">
        <v>373</v>
      </c>
      <c r="I31" s="449">
        <v>6622.13</v>
      </c>
    </row>
    <row r="32" spans="2:21" ht="21" customHeight="1">
      <c r="B32" s="248" t="str">
        <f>'49-Utility1'!B32</f>
        <v>Required Appropriation 2025</v>
      </c>
      <c r="C32" s="248"/>
      <c r="D32" s="248"/>
      <c r="E32" s="248"/>
      <c r="F32" s="248"/>
      <c r="G32" s="248"/>
      <c r="H32" s="248"/>
      <c r="I32" s="312"/>
      <c r="J32" s="376" t="s">
        <v>373</v>
      </c>
      <c r="K32" s="1414">
        <f>+I30+I31</f>
        <v>37661.040000000001</v>
      </c>
      <c r="L32" s="1415"/>
    </row>
    <row r="33" spans="2:12" ht="13.5" customHeight="1">
      <c r="K33" s="378"/>
      <c r="L33" s="302"/>
    </row>
    <row r="34" spans="2:12" ht="13.5" customHeight="1">
      <c r="K34" s="378"/>
      <c r="L34" s="302"/>
    </row>
    <row r="35" spans="2:12" ht="21" customHeight="1" thickBot="1">
      <c r="B35" s="1404" t="str">
        <f>"LIST  OF  LOANS  ISSUED  DURING  "&amp;IF('KEY INPUTS'!C42="State Fiscal Year","FISCAL  YEAR  "&amp;'KEY INPUTS'!D33&amp;"",'KEY INPUTS'!D34)&amp;""</f>
        <v>LIST  OF  LOANS  ISSUED  DURING  2024</v>
      </c>
      <c r="C35" s="1404"/>
      <c r="D35" s="1404"/>
      <c r="E35" s="1404"/>
      <c r="F35" s="1404"/>
      <c r="G35" s="1404"/>
      <c r="H35" s="1404"/>
      <c r="I35" s="1404"/>
      <c r="J35" s="1404"/>
      <c r="K35" s="1404"/>
      <c r="L35" s="1404"/>
    </row>
    <row r="36" spans="2:12" ht="27" customHeight="1" thickTop="1" thickBot="1">
      <c r="B36" s="1350" t="s">
        <v>413</v>
      </c>
      <c r="C36" s="1350"/>
      <c r="D36" s="1350"/>
      <c r="E36" s="1350"/>
      <c r="F36" s="1350"/>
      <c r="G36" s="304" t="str">
        <f>'49-Utility1'!G36</f>
        <v>2025 Maturity</v>
      </c>
      <c r="H36" s="1401" t="s">
        <v>91</v>
      </c>
      <c r="I36" s="1351"/>
      <c r="J36" s="1399" t="s">
        <v>89</v>
      </c>
      <c r="K36" s="1400"/>
      <c r="L36" s="377" t="s">
        <v>90</v>
      </c>
    </row>
    <row r="37" spans="2:12" ht="21" customHeight="1" thickTop="1">
      <c r="B37" s="518"/>
      <c r="C37" s="518"/>
      <c r="D37" s="518"/>
      <c r="E37" s="518"/>
      <c r="F37" s="518"/>
      <c r="G37" s="454"/>
      <c r="H37" s="1293"/>
      <c r="I37" s="1294"/>
      <c r="J37" s="1422"/>
      <c r="K37" s="1417"/>
      <c r="L37" s="669"/>
    </row>
    <row r="38" spans="2:12" ht="21" customHeight="1">
      <c r="B38" s="495"/>
      <c r="C38" s="495"/>
      <c r="D38" s="495"/>
      <c r="E38" s="495"/>
      <c r="F38" s="495"/>
      <c r="G38" s="450"/>
      <c r="H38" s="1291"/>
      <c r="I38" s="1292"/>
      <c r="J38" s="1397"/>
      <c r="K38" s="1398"/>
      <c r="L38" s="670"/>
    </row>
    <row r="39" spans="2:12" ht="21" customHeight="1">
      <c r="B39" s="495"/>
      <c r="C39" s="495"/>
      <c r="D39" s="495"/>
      <c r="E39" s="495"/>
      <c r="F39" s="495"/>
      <c r="G39" s="450"/>
      <c r="H39" s="1291"/>
      <c r="I39" s="1292"/>
      <c r="J39" s="1397"/>
      <c r="K39" s="1398"/>
      <c r="L39" s="670"/>
    </row>
    <row r="40" spans="2:12" ht="21" customHeight="1">
      <c r="B40" s="495"/>
      <c r="C40" s="495"/>
      <c r="D40" s="495"/>
      <c r="E40" s="495"/>
      <c r="F40" s="495"/>
      <c r="G40" s="450"/>
      <c r="H40" s="1291"/>
      <c r="I40" s="1292"/>
      <c r="J40" s="1397"/>
      <c r="K40" s="1398"/>
      <c r="L40" s="670"/>
    </row>
    <row r="41" spans="2:12" ht="21" customHeight="1" thickBot="1">
      <c r="B41" s="311"/>
      <c r="C41" s="311"/>
      <c r="D41" s="311"/>
      <c r="E41" s="311"/>
      <c r="F41" s="310"/>
      <c r="G41" s="129">
        <f>SUM(G37:G40)</f>
        <v>0</v>
      </c>
      <c r="H41" s="1312">
        <f>SUM(H37:I40)</f>
        <v>0</v>
      </c>
      <c r="I41" s="1313"/>
      <c r="J41" s="375"/>
      <c r="K41" s="311"/>
      <c r="L41" s="315"/>
    </row>
    <row r="42" spans="2:12" ht="13.8" thickTop="1">
      <c r="G42" s="347"/>
      <c r="H42" s="347"/>
      <c r="I42" s="347"/>
    </row>
    <row r="51" spans="2:12" ht="13.8">
      <c r="B51" s="1353" t="s">
        <v>3166</v>
      </c>
      <c r="C51" s="1353"/>
      <c r="D51" s="1353"/>
      <c r="E51" s="1353"/>
      <c r="F51" s="1353"/>
      <c r="G51" s="1353"/>
      <c r="H51" s="1353"/>
      <c r="I51" s="1353"/>
      <c r="J51" s="1353"/>
      <c r="K51" s="1353"/>
      <c r="L51" s="1353"/>
    </row>
  </sheetData>
  <sheetProtection algorithmName="SHA-512" hashValue="JN/XeQgffnxcaBvB36WUF1BtLwo2VdmkThMbV1kJWVw+koaid4wLgwtIwJByocEE5leBAyTViYEVqb1uPbdu9g==" saltValue="Z0UE5wNAvs7etd0yvUDW0g==" spinCount="100000" sheet="1" objects="1" scenarios="1"/>
  <mergeCells count="38">
    <mergeCell ref="H41:I41"/>
    <mergeCell ref="H39:I39"/>
    <mergeCell ref="H40:I40"/>
    <mergeCell ref="B16:I16"/>
    <mergeCell ref="B27:L27"/>
    <mergeCell ref="K32:L32"/>
    <mergeCell ref="J40:K40"/>
    <mergeCell ref="J37:K37"/>
    <mergeCell ref="J38:K38"/>
    <mergeCell ref="H37:I37"/>
    <mergeCell ref="K24:L24"/>
    <mergeCell ref="H22:I22"/>
    <mergeCell ref="B2:L2"/>
    <mergeCell ref="B3:L3"/>
    <mergeCell ref="B4:L4"/>
    <mergeCell ref="J6:L6"/>
    <mergeCell ref="H6:I6"/>
    <mergeCell ref="H10:I10"/>
    <mergeCell ref="H11:I11"/>
    <mergeCell ref="H17:I17"/>
    <mergeCell ref="H19:I19"/>
    <mergeCell ref="H18:I18"/>
    <mergeCell ref="H9:I9"/>
    <mergeCell ref="B51:L51"/>
    <mergeCell ref="H7:I7"/>
    <mergeCell ref="H8:I8"/>
    <mergeCell ref="H12:I12"/>
    <mergeCell ref="B36:F36"/>
    <mergeCell ref="K13:L13"/>
    <mergeCell ref="H23:I23"/>
    <mergeCell ref="H20:I20"/>
    <mergeCell ref="H21:I21"/>
    <mergeCell ref="J39:K39"/>
    <mergeCell ref="J36:K36"/>
    <mergeCell ref="H36:I36"/>
    <mergeCell ref="B15:I15"/>
    <mergeCell ref="B35:L35"/>
    <mergeCell ref="H38:I38"/>
  </mergeCells>
  <pageMargins left="0.25" right="0.25" top="0.5" bottom="0.5" header="0.25" footer="0.25"/>
  <pageSetup paperSize="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E3BE0-488F-46A4-BFD8-790A214A787F}">
  <sheetPr codeName="Sheet17"/>
  <dimension ref="B3:M48"/>
  <sheetViews>
    <sheetView zoomScaleNormal="100" workbookViewId="0">
      <selection activeCell="J16" sqref="J16"/>
    </sheetView>
  </sheetViews>
  <sheetFormatPr defaultColWidth="9.109375" defaultRowHeight="13.2"/>
  <cols>
    <col min="1" max="1" width="4.6640625" customWidth="1"/>
    <col min="2" max="2" width="4.88671875" customWidth="1"/>
    <col min="3" max="4" width="4.6640625" customWidth="1"/>
    <col min="5" max="5" width="30.6640625" customWidth="1"/>
    <col min="6" max="6" width="15.6640625" customWidth="1"/>
    <col min="7" max="8" width="18.6640625" customWidth="1"/>
    <col min="13" max="13" width="10.33203125" bestFit="1" customWidth="1"/>
  </cols>
  <sheetData>
    <row r="3" spans="2:11" ht="22.8">
      <c r="B3" s="1176" t="s">
        <v>424</v>
      </c>
      <c r="C3" s="1176"/>
      <c r="D3" s="1176"/>
      <c r="E3" s="1176"/>
      <c r="F3" s="1176"/>
      <c r="G3" s="1176"/>
      <c r="H3" s="1176"/>
    </row>
    <row r="4" spans="2:11" ht="22.8">
      <c r="B4" s="1176" t="s">
        <v>3612</v>
      </c>
      <c r="C4" s="1176"/>
      <c r="D4" s="1176"/>
      <c r="E4" s="1176"/>
      <c r="F4" s="1176"/>
      <c r="G4" s="1176"/>
      <c r="H4" s="1176"/>
    </row>
    <row r="5" spans="2:11" ht="17.399999999999999">
      <c r="B5" s="1186" t="s">
        <v>620</v>
      </c>
      <c r="C5" s="1186"/>
      <c r="D5" s="1186"/>
      <c r="E5" s="1186"/>
      <c r="F5" s="1186"/>
      <c r="G5" s="1186"/>
      <c r="H5" s="1186"/>
    </row>
    <row r="6" spans="2:11" ht="15.6">
      <c r="B6" s="1182" t="str">
        <f>IF('KEY INPUTS'!C42 = "State Fiscal Year", 'KEY INPUTS'!F45,'KEY INPUTS'!D45)</f>
        <v>AS  AT  DECEMBER  31, 2024</v>
      </c>
      <c r="C6" s="1132"/>
      <c r="D6" s="1132"/>
      <c r="E6" s="1132"/>
      <c r="F6" s="1132"/>
      <c r="G6" s="1132"/>
      <c r="H6" s="1132"/>
    </row>
    <row r="7" spans="2:11" ht="13.8" thickBot="1"/>
    <row r="8" spans="2:11" ht="36" customHeight="1" thickTop="1" thickBot="1">
      <c r="B8" s="1179" t="s">
        <v>95</v>
      </c>
      <c r="C8" s="1179"/>
      <c r="D8" s="1179"/>
      <c r="E8" s="1179"/>
      <c r="F8" s="1180"/>
      <c r="G8" s="4" t="s">
        <v>96</v>
      </c>
      <c r="H8" s="3" t="s">
        <v>97</v>
      </c>
    </row>
    <row r="9" spans="2:11" ht="21" customHeight="1" thickTop="1">
      <c r="B9" s="239" t="s">
        <v>3248</v>
      </c>
      <c r="G9" s="627">
        <f>+'6.1-Trial Bal-Trust Fnds'!G44</f>
        <v>329057.32</v>
      </c>
      <c r="H9" s="628">
        <f>+'6.1-Trial Bal-Trust Fnds'!H44</f>
        <v>329057.32</v>
      </c>
      <c r="I9" s="575"/>
    </row>
    <row r="10" spans="2:11" ht="21" customHeight="1">
      <c r="B10" s="263" t="s">
        <v>3247</v>
      </c>
      <c r="C10" s="5"/>
      <c r="D10" s="5"/>
      <c r="E10" s="5"/>
      <c r="F10" s="5"/>
      <c r="G10" s="629"/>
      <c r="H10" s="509"/>
    </row>
    <row r="11" spans="2:11" ht="21" customHeight="1">
      <c r="B11" s="417"/>
      <c r="C11" s="417"/>
      <c r="D11" s="417"/>
      <c r="E11" s="417"/>
      <c r="F11" s="417"/>
      <c r="G11" s="291"/>
      <c r="H11" s="429"/>
      <c r="I11" s="575"/>
    </row>
    <row r="12" spans="2:11" ht="21" customHeight="1">
      <c r="B12" s="417"/>
      <c r="C12" s="417"/>
      <c r="D12" s="417"/>
      <c r="E12" s="417"/>
      <c r="F12" s="417"/>
      <c r="G12" s="291"/>
      <c r="H12" s="429"/>
    </row>
    <row r="13" spans="2:11" ht="21" customHeight="1">
      <c r="B13" s="417"/>
      <c r="C13" s="417"/>
      <c r="D13" s="417"/>
      <c r="E13" s="417"/>
      <c r="F13" s="417"/>
      <c r="G13" s="291"/>
      <c r="H13" s="429"/>
    </row>
    <row r="14" spans="2:11" ht="21" customHeight="1">
      <c r="B14" s="417"/>
      <c r="C14" s="417"/>
      <c r="D14" s="417"/>
      <c r="E14" s="417"/>
      <c r="F14" s="417"/>
      <c r="G14" s="291"/>
      <c r="H14" s="429"/>
      <c r="K14" s="294"/>
    </row>
    <row r="15" spans="2:11" ht="21" customHeight="1">
      <c r="B15" s="417"/>
      <c r="C15" s="417"/>
      <c r="D15" s="417"/>
      <c r="E15" s="417"/>
      <c r="F15" s="417"/>
      <c r="G15" s="291"/>
      <c r="H15" s="429"/>
    </row>
    <row r="16" spans="2:11" ht="21" customHeight="1">
      <c r="B16" s="417"/>
      <c r="C16" s="417"/>
      <c r="D16" s="417"/>
      <c r="E16" s="417"/>
      <c r="F16" s="417"/>
      <c r="G16" s="291"/>
      <c r="H16" s="429"/>
    </row>
    <row r="17" spans="2:8" ht="21" customHeight="1">
      <c r="B17" s="417"/>
      <c r="C17" s="417"/>
      <c r="D17" s="417"/>
      <c r="E17" s="417"/>
      <c r="F17" s="417"/>
      <c r="G17" s="291"/>
      <c r="H17" s="429"/>
    </row>
    <row r="18" spans="2:8" ht="21" customHeight="1">
      <c r="B18" s="417"/>
      <c r="C18" s="417"/>
      <c r="D18" s="417"/>
      <c r="E18" s="417"/>
      <c r="F18" s="417"/>
      <c r="G18" s="291"/>
      <c r="H18" s="429"/>
    </row>
    <row r="19" spans="2:8" ht="21" customHeight="1">
      <c r="B19" s="417"/>
      <c r="C19" s="417"/>
      <c r="D19" s="417"/>
      <c r="E19" s="417"/>
      <c r="F19" s="417"/>
      <c r="G19" s="291"/>
      <c r="H19" s="429"/>
    </row>
    <row r="20" spans="2:8" ht="21" customHeight="1">
      <c r="B20" s="417"/>
      <c r="C20" s="417"/>
      <c r="D20" s="417"/>
      <c r="E20" s="417"/>
      <c r="F20" s="417"/>
      <c r="G20" s="291"/>
      <c r="H20" s="429"/>
    </row>
    <row r="21" spans="2:8" ht="21" customHeight="1">
      <c r="B21" s="417"/>
      <c r="C21" s="417"/>
      <c r="D21" s="417"/>
      <c r="E21" s="417"/>
      <c r="F21" s="417"/>
      <c r="G21" s="291"/>
      <c r="H21" s="429"/>
    </row>
    <row r="22" spans="2:8" ht="21" customHeight="1">
      <c r="B22" s="417"/>
      <c r="C22" s="417"/>
      <c r="D22" s="417"/>
      <c r="E22" s="417"/>
      <c r="F22" s="417"/>
      <c r="G22" s="291"/>
      <c r="H22" s="429"/>
    </row>
    <row r="23" spans="2:8" ht="21" customHeight="1">
      <c r="B23" s="417"/>
      <c r="C23" s="417"/>
      <c r="D23" s="417"/>
      <c r="E23" s="417"/>
      <c r="F23" s="417"/>
      <c r="G23" s="291"/>
      <c r="H23" s="429"/>
    </row>
    <row r="24" spans="2:8" ht="21" customHeight="1">
      <c r="B24" s="417"/>
      <c r="C24" s="417"/>
      <c r="D24" s="417"/>
      <c r="E24" s="417"/>
      <c r="F24" s="417"/>
      <c r="G24" s="291"/>
      <c r="H24" s="429"/>
    </row>
    <row r="25" spans="2:8" ht="21" customHeight="1">
      <c r="B25" s="417"/>
      <c r="C25" s="417"/>
      <c r="D25" s="417"/>
      <c r="E25" s="417"/>
      <c r="F25" s="417"/>
      <c r="G25" s="291"/>
      <c r="H25" s="429"/>
    </row>
    <row r="26" spans="2:8" ht="21" customHeight="1">
      <c r="B26" s="417"/>
      <c r="C26" s="417"/>
      <c r="D26" s="417"/>
      <c r="E26" s="417"/>
      <c r="F26" s="417"/>
      <c r="G26" s="291"/>
      <c r="H26" s="429"/>
    </row>
    <row r="27" spans="2:8" ht="21" customHeight="1">
      <c r="B27" s="417"/>
      <c r="C27" s="417"/>
      <c r="D27" s="417"/>
      <c r="E27" s="417"/>
      <c r="F27" s="417"/>
      <c r="G27" s="291"/>
      <c r="H27" s="429"/>
    </row>
    <row r="28" spans="2:8" ht="21" customHeight="1">
      <c r="B28" s="417"/>
      <c r="C28" s="417"/>
      <c r="D28" s="417"/>
      <c r="E28" s="417"/>
      <c r="F28" s="417"/>
      <c r="G28" s="291"/>
      <c r="H28" s="429"/>
    </row>
    <row r="29" spans="2:8" ht="21" customHeight="1">
      <c r="B29" s="417"/>
      <c r="C29" s="417"/>
      <c r="D29" s="417"/>
      <c r="E29" s="417"/>
      <c r="F29" s="417"/>
      <c r="G29" s="291"/>
      <c r="H29" s="429"/>
    </row>
    <row r="30" spans="2:8" ht="21" customHeight="1">
      <c r="B30" s="417"/>
      <c r="C30" s="417"/>
      <c r="D30" s="417"/>
      <c r="E30" s="417"/>
      <c r="F30" s="417"/>
      <c r="G30" s="291"/>
      <c r="H30" s="429"/>
    </row>
    <row r="31" spans="2:8" ht="21" customHeight="1">
      <c r="B31" s="417"/>
      <c r="C31" s="417"/>
      <c r="D31" s="417"/>
      <c r="E31" s="417"/>
      <c r="F31" s="417"/>
      <c r="G31" s="291"/>
      <c r="H31" s="429"/>
    </row>
    <row r="32" spans="2:8" ht="21" customHeight="1">
      <c r="B32" s="417"/>
      <c r="C32" s="417"/>
      <c r="D32" s="417"/>
      <c r="E32" s="417"/>
      <c r="F32" s="417"/>
      <c r="G32" s="291"/>
      <c r="H32" s="429"/>
    </row>
    <row r="33" spans="2:13" ht="21" customHeight="1">
      <c r="B33" s="417"/>
      <c r="C33" s="417"/>
      <c r="D33" s="417"/>
      <c r="E33" s="417"/>
      <c r="F33" s="417"/>
      <c r="G33" s="291"/>
      <c r="H33" s="429"/>
      <c r="M33" s="204"/>
    </row>
    <row r="34" spans="2:13" ht="21" customHeight="1">
      <c r="B34" s="417"/>
      <c r="C34" s="417"/>
      <c r="D34" s="417"/>
      <c r="E34" s="417"/>
      <c r="F34" s="417"/>
      <c r="G34" s="291"/>
      <c r="H34" s="429"/>
    </row>
    <row r="35" spans="2:13" ht="21" customHeight="1">
      <c r="B35" s="417"/>
      <c r="C35" s="417"/>
      <c r="D35" s="417"/>
      <c r="E35" s="417"/>
      <c r="F35" s="417"/>
      <c r="G35" s="291"/>
      <c r="H35" s="429"/>
    </row>
    <row r="36" spans="2:13" ht="21" customHeight="1">
      <c r="B36" s="417"/>
      <c r="C36" s="417"/>
      <c r="D36" s="417"/>
      <c r="E36" s="417"/>
      <c r="F36" s="417"/>
      <c r="G36" s="291"/>
      <c r="H36" s="429"/>
    </row>
    <row r="37" spans="2:13" ht="21" customHeight="1">
      <c r="B37" s="417"/>
      <c r="C37" s="417"/>
      <c r="D37" s="417"/>
      <c r="E37" s="417"/>
      <c r="F37" s="417"/>
      <c r="G37" s="291"/>
      <c r="H37" s="429"/>
    </row>
    <row r="38" spans="2:13" ht="21" customHeight="1">
      <c r="B38" s="417"/>
      <c r="C38" s="417"/>
      <c r="D38" s="417"/>
      <c r="E38" s="417"/>
      <c r="F38" s="417"/>
      <c r="G38" s="291"/>
      <c r="H38" s="429"/>
    </row>
    <row r="39" spans="2:13" ht="21" customHeight="1">
      <c r="B39" s="417"/>
      <c r="C39" s="417"/>
      <c r="D39" s="417"/>
      <c r="E39" s="417"/>
      <c r="F39" s="417"/>
      <c r="G39" s="291"/>
      <c r="H39" s="429"/>
    </row>
    <row r="40" spans="2:13" ht="21" customHeight="1">
      <c r="B40" s="417"/>
      <c r="C40" s="417"/>
      <c r="D40" s="417"/>
      <c r="E40" s="417"/>
      <c r="F40" s="417"/>
      <c r="G40" s="291"/>
      <c r="H40" s="429"/>
    </row>
    <row r="41" spans="2:13" ht="21" customHeight="1">
      <c r="B41" s="417"/>
      <c r="C41" s="417"/>
      <c r="D41" s="417"/>
      <c r="E41" s="417"/>
      <c r="F41" s="417"/>
      <c r="G41" s="291"/>
      <c r="H41" s="429"/>
    </row>
    <row r="42" spans="2:13" ht="21" customHeight="1">
      <c r="B42" s="417"/>
      <c r="C42" s="417"/>
      <c r="D42" s="417"/>
      <c r="E42" s="417"/>
      <c r="F42" s="417"/>
      <c r="G42" s="291"/>
      <c r="H42" s="429"/>
    </row>
    <row r="43" spans="2:13" ht="21" customHeight="1">
      <c r="B43" s="417"/>
      <c r="C43" s="417"/>
      <c r="D43" s="417"/>
      <c r="E43" s="417"/>
      <c r="F43" s="417"/>
      <c r="G43" s="291"/>
      <c r="H43" s="429"/>
    </row>
    <row r="44" spans="2:13" ht="21" customHeight="1">
      <c r="B44" s="263" t="s">
        <v>798</v>
      </c>
      <c r="C44" s="5"/>
      <c r="D44" s="5"/>
      <c r="E44" s="5"/>
      <c r="F44" s="5"/>
      <c r="G44" s="629">
        <f>SUM(G9:G43)</f>
        <v>329057.32</v>
      </c>
      <c r="H44" s="636">
        <f>SUM(H9:H43)</f>
        <v>329057.32</v>
      </c>
    </row>
    <row r="45" spans="2:13">
      <c r="B45" s="1158" t="s">
        <v>98</v>
      </c>
      <c r="C45" s="1158"/>
      <c r="D45" s="1158"/>
      <c r="E45" s="1158"/>
      <c r="F45" s="1158"/>
      <c r="G45" s="1158"/>
      <c r="H45" s="1158"/>
    </row>
    <row r="46" spans="2:13">
      <c r="B46" s="1"/>
      <c r="C46" s="1"/>
      <c r="D46" s="1"/>
      <c r="E46" s="1"/>
      <c r="F46" s="1"/>
      <c r="G46" s="1"/>
      <c r="H46" s="1"/>
    </row>
    <row r="48" spans="2:13" ht="13.8">
      <c r="B48" s="1130" t="s">
        <v>3250</v>
      </c>
      <c r="C48" s="1130"/>
      <c r="D48" s="1130"/>
      <c r="E48" s="1130"/>
      <c r="F48" s="1130"/>
      <c r="G48" s="1130"/>
      <c r="H48" s="1130"/>
    </row>
  </sheetData>
  <sheetProtection algorithmName="SHA-512" hashValue="eX9war+LARCj9hQlYztH+Zl4+TNrYE1DJeGsvEHx/T191G43UI6IbMOhmMj1cu4GGAP1/ucLfnaeddRq/6ym7g==" saltValue="7cWGr7MjcGWgRX2E1GNJpA=="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D7CDB-125E-4433-A7FD-3CBC86C43F09}">
  <sheetPr codeName="Sheet167">
    <tabColor theme="6" tint="0.39997558519241921"/>
  </sheetPr>
  <dimension ref="B2:U51"/>
  <sheetViews>
    <sheetView topLeftCell="A18" zoomScaleNormal="100" zoomScaleSheetLayoutView="80" workbookViewId="0">
      <selection activeCell="P20" sqref="P20"/>
    </sheetView>
  </sheetViews>
  <sheetFormatPr defaultColWidth="9.109375" defaultRowHeight="13.2"/>
  <cols>
    <col min="1" max="3" width="4.6640625" style="267" customWidth="1"/>
    <col min="4" max="4" width="4.5546875" style="267" customWidth="1"/>
    <col min="5" max="5" width="17.88671875" style="267" customWidth="1"/>
    <col min="6" max="6" width="9.109375" style="267"/>
    <col min="7" max="7" width="16.6640625" style="267" customWidth="1"/>
    <col min="8" max="8" width="1.6640625" style="267" customWidth="1"/>
    <col min="9" max="9" width="15.6640625" style="267" customWidth="1"/>
    <col min="10" max="10" width="1.6640625" style="267" customWidth="1"/>
    <col min="11" max="11" width="8.6640625" style="267" customWidth="1"/>
    <col min="12" max="12" width="7.6640625" style="267" customWidth="1"/>
    <col min="13" max="16" width="9.109375" style="267"/>
    <col min="17" max="17" width="11.109375" style="267" bestFit="1" customWidth="1"/>
    <col min="18" max="18" width="15.109375" style="267" customWidth="1"/>
    <col min="19" max="16384" width="9.109375" style="267"/>
  </cols>
  <sheetData>
    <row r="2" spans="2:21" ht="20.399999999999999">
      <c r="B2" s="1363" t="s">
        <v>480</v>
      </c>
      <c r="C2" s="1363"/>
      <c r="D2" s="1363"/>
      <c r="E2" s="1363"/>
      <c r="F2" s="1363"/>
      <c r="G2" s="1363"/>
      <c r="H2" s="1363"/>
      <c r="I2" s="1363"/>
      <c r="J2" s="1363"/>
      <c r="K2" s="1363"/>
      <c r="L2" s="1363"/>
    </row>
    <row r="3" spans="2:21" ht="21" thickBot="1">
      <c r="B3" s="1363" t="str">
        <f>" AND  "&amp;IF('KEY INPUTS'!C42="State Fiscal Year","FISCAL  YEAR  "&amp;'KEY INPUTS'!D33+1&amp;"",'KEY INPUTS'!D34+1)&amp;"  DEBT  SERVICE  FOR  LOANS"</f>
        <v xml:space="preserve"> AND  2025  DEBT  SERVICE  FOR  LOANS</v>
      </c>
      <c r="C3" s="1363"/>
      <c r="D3" s="1363"/>
      <c r="E3" s="1363"/>
      <c r="F3" s="1363"/>
      <c r="G3" s="1363"/>
      <c r="H3" s="1363"/>
      <c r="I3" s="1363"/>
      <c r="J3" s="1363"/>
      <c r="K3" s="1363"/>
      <c r="L3" s="1363"/>
    </row>
    <row r="4" spans="2:21" ht="16.2" thickBot="1">
      <c r="B4" s="1360" t="str">
        <f>UPPER('KEY INPUTS'!D$54)&amp;" UTILITY "&amp;IF(R4&lt;&gt;"",(UPPER(R4)),"")&amp;" LOAN"</f>
        <v>WATER UTILITY  LOAN</v>
      </c>
      <c r="C4" s="1360"/>
      <c r="D4" s="1360"/>
      <c r="E4" s="1360"/>
      <c r="F4" s="1360"/>
      <c r="G4" s="1360"/>
      <c r="H4" s="1360"/>
      <c r="I4" s="1360"/>
      <c r="J4" s="1360"/>
      <c r="K4" s="1360"/>
      <c r="L4" s="1360"/>
      <c r="Q4" s="1056" t="s">
        <v>3576</v>
      </c>
      <c r="R4" s="1057"/>
    </row>
    <row r="5" spans="2:21" ht="9.75" customHeight="1" thickBot="1">
      <c r="B5" s="383"/>
      <c r="C5" s="383"/>
      <c r="D5" s="383"/>
      <c r="E5" s="383"/>
      <c r="F5" s="383"/>
      <c r="G5" s="383"/>
      <c r="H5" s="383"/>
      <c r="I5" s="383"/>
      <c r="J5" s="383"/>
      <c r="K5" s="383"/>
      <c r="L5" s="383"/>
    </row>
    <row r="6" spans="2:21" ht="27.75" customHeight="1" thickTop="1" thickBot="1">
      <c r="B6" s="364"/>
      <c r="C6" s="364"/>
      <c r="D6" s="364"/>
      <c r="E6" s="364"/>
      <c r="F6" s="364"/>
      <c r="G6" s="304" t="s">
        <v>96</v>
      </c>
      <c r="H6" s="1401" t="s">
        <v>97</v>
      </c>
      <c r="I6" s="1351"/>
      <c r="J6" s="1407" t="str">
        <f>IF('KEY INPUTS'!C42="State Fiscal Year","Fiscal Year "&amp;'KEY INPUTS'!D33+1&amp;"",'KEY INPUTS'!D34+1)&amp;"  Debt Service"</f>
        <v>2025  Debt Service</v>
      </c>
      <c r="K6" s="1407"/>
      <c r="L6" s="1407"/>
      <c r="O6"/>
      <c r="P6"/>
      <c r="Q6"/>
      <c r="R6"/>
      <c r="S6"/>
      <c r="T6"/>
      <c r="U6"/>
    </row>
    <row r="7" spans="2:21" ht="21" customHeight="1" thickTop="1">
      <c r="B7" s="363" t="str">
        <f>'49a-Utility1'!B7</f>
        <v>Outstanding - January 1, 2024</v>
      </c>
      <c r="C7" s="313"/>
      <c r="D7" s="313"/>
      <c r="E7" s="313"/>
      <c r="F7" s="313"/>
      <c r="G7" s="137" t="s">
        <v>627</v>
      </c>
      <c r="H7" s="1293"/>
      <c r="I7" s="1294"/>
      <c r="O7"/>
      <c r="P7"/>
      <c r="Q7"/>
      <c r="R7"/>
      <c r="S7"/>
      <c r="T7"/>
      <c r="U7"/>
    </row>
    <row r="8" spans="2:21" ht="21" customHeight="1">
      <c r="B8" s="248" t="s">
        <v>92</v>
      </c>
      <c r="C8" s="248"/>
      <c r="D8" s="248"/>
      <c r="E8" s="248"/>
      <c r="F8" s="248"/>
      <c r="G8" s="138" t="s">
        <v>627</v>
      </c>
      <c r="H8" s="1291"/>
      <c r="I8" s="1292"/>
      <c r="O8" s="294"/>
      <c r="P8"/>
      <c r="Q8"/>
      <c r="R8"/>
      <c r="S8"/>
      <c r="T8"/>
      <c r="U8"/>
    </row>
    <row r="9" spans="2:21" ht="21" customHeight="1">
      <c r="B9" s="248"/>
      <c r="C9" s="248"/>
      <c r="D9" s="248"/>
      <c r="E9" s="248"/>
      <c r="F9" s="248"/>
      <c r="G9" s="138"/>
      <c r="H9" s="609"/>
      <c r="I9" s="719"/>
      <c r="O9"/>
      <c r="P9"/>
      <c r="Q9"/>
      <c r="R9"/>
      <c r="S9"/>
      <c r="T9"/>
      <c r="U9"/>
    </row>
    <row r="10" spans="2:21" ht="21" customHeight="1">
      <c r="B10" s="248" t="s">
        <v>254</v>
      </c>
      <c r="C10" s="248"/>
      <c r="D10" s="248"/>
      <c r="E10" s="248"/>
      <c r="F10" s="248"/>
      <c r="G10" s="450"/>
      <c r="H10" s="1266" t="s">
        <v>627</v>
      </c>
      <c r="I10" s="1267"/>
      <c r="O10"/>
      <c r="P10"/>
      <c r="Q10"/>
      <c r="R10"/>
      <c r="S10"/>
      <c r="T10"/>
      <c r="U10"/>
    </row>
    <row r="11" spans="2:21" ht="21" customHeight="1" thickBot="1">
      <c r="B11" s="248" t="str">
        <f>'49a-Utility1'!B11</f>
        <v>Outstanding - December 31, 2024</v>
      </c>
      <c r="C11" s="248"/>
      <c r="D11" s="248"/>
      <c r="E11" s="248"/>
      <c r="F11" s="248"/>
      <c r="G11" s="133">
        <f>+H7+H8-G10</f>
        <v>0</v>
      </c>
      <c r="H11" s="1270" t="s">
        <v>627</v>
      </c>
      <c r="I11" s="1271"/>
      <c r="O11"/>
      <c r="P11"/>
      <c r="Q11"/>
      <c r="R11"/>
      <c r="S11"/>
      <c r="T11"/>
      <c r="U11"/>
    </row>
    <row r="12" spans="2:21" ht="21" customHeight="1" thickBot="1">
      <c r="G12" s="129">
        <f>SUM(G7:G11)</f>
        <v>0</v>
      </c>
      <c r="H12" s="1315">
        <f>SUM(H7:I11)</f>
        <v>0</v>
      </c>
      <c r="I12" s="1316"/>
      <c r="O12"/>
      <c r="P12"/>
      <c r="Q12"/>
      <c r="R12"/>
      <c r="S12"/>
      <c r="T12"/>
      <c r="U12"/>
    </row>
    <row r="13" spans="2:21" ht="21" customHeight="1" thickTop="1">
      <c r="B13" s="333" t="str">
        <f>'49a-Utility1'!B13</f>
        <v>2025 Loan Maturities</v>
      </c>
      <c r="C13" s="333"/>
      <c r="D13" s="333"/>
      <c r="E13" s="333"/>
      <c r="F13" s="333"/>
      <c r="G13" s="333"/>
      <c r="H13" s="333"/>
      <c r="I13" s="381"/>
      <c r="J13" s="333" t="s">
        <v>373</v>
      </c>
      <c r="K13" s="1311"/>
      <c r="L13" s="1311"/>
      <c r="O13"/>
      <c r="P13"/>
      <c r="Q13"/>
      <c r="R13"/>
      <c r="S13"/>
      <c r="T13"/>
      <c r="U13"/>
    </row>
    <row r="14" spans="2:21" ht="21" customHeight="1" thickBot="1">
      <c r="B14" s="311" t="str">
        <f>'49a-Utility1'!B14</f>
        <v>2025 Interest on Loans</v>
      </c>
      <c r="C14" s="311"/>
      <c r="D14" s="311"/>
      <c r="E14" s="311"/>
      <c r="F14" s="311"/>
      <c r="G14" s="380"/>
      <c r="H14" s="311" t="s">
        <v>373</v>
      </c>
      <c r="I14" s="519"/>
      <c r="O14"/>
      <c r="P14"/>
      <c r="Q14"/>
      <c r="R14"/>
      <c r="S14"/>
      <c r="T14"/>
      <c r="U14"/>
    </row>
    <row r="15" spans="2:21" ht="16.5" customHeight="1" thickTop="1" thickBot="1">
      <c r="B15" s="1402"/>
      <c r="C15" s="1402"/>
      <c r="D15" s="1402"/>
      <c r="E15" s="1402"/>
      <c r="F15" s="1402"/>
      <c r="G15" s="1402"/>
      <c r="H15" s="1402"/>
      <c r="I15" s="1403"/>
      <c r="O15"/>
      <c r="P15"/>
      <c r="Q15"/>
      <c r="R15"/>
      <c r="S15"/>
      <c r="T15"/>
      <c r="U15"/>
    </row>
    <row r="16" spans="2:21" ht="16.2" thickBot="1">
      <c r="B16" s="1420" t="str">
        <f>UPPER('KEY INPUTS'!D$54)&amp;" UTILITY "&amp;IF(R16&lt;&gt;"",(UPPER(R16)),"")&amp;" LOAN"</f>
        <v>WATER UTILITY  LOAN</v>
      </c>
      <c r="C16" s="1420"/>
      <c r="D16" s="1420"/>
      <c r="E16" s="1420"/>
      <c r="F16" s="1420"/>
      <c r="G16" s="1420"/>
      <c r="H16" s="1420"/>
      <c r="I16" s="1421"/>
      <c r="O16"/>
      <c r="P16"/>
      <c r="Q16" s="1056" t="s">
        <v>3576</v>
      </c>
      <c r="R16" s="1057"/>
      <c r="S16"/>
      <c r="T16"/>
      <c r="U16"/>
    </row>
    <row r="17" spans="2:21" ht="21" customHeight="1" thickTop="1">
      <c r="B17" s="363" t="str">
        <f>B7</f>
        <v>Outstanding - January 1, 2024</v>
      </c>
      <c r="C17" s="313"/>
      <c r="D17" s="313"/>
      <c r="E17" s="313"/>
      <c r="F17" s="313"/>
      <c r="G17" s="137" t="s">
        <v>627</v>
      </c>
      <c r="H17" s="1293"/>
      <c r="I17" s="1294"/>
      <c r="O17"/>
      <c r="P17"/>
      <c r="Q17"/>
      <c r="R17"/>
      <c r="S17"/>
      <c r="T17"/>
      <c r="U17"/>
    </row>
    <row r="18" spans="2:21" ht="21" customHeight="1">
      <c r="B18" s="248" t="s">
        <v>92</v>
      </c>
      <c r="C18" s="248"/>
      <c r="D18" s="248"/>
      <c r="E18" s="248"/>
      <c r="F18" s="248"/>
      <c r="G18" s="138" t="s">
        <v>627</v>
      </c>
      <c r="H18" s="1291"/>
      <c r="I18" s="1292"/>
      <c r="O18"/>
      <c r="P18"/>
      <c r="Q18"/>
      <c r="R18"/>
      <c r="S18"/>
      <c r="T18"/>
      <c r="U18"/>
    </row>
    <row r="19" spans="2:21" ht="21" customHeight="1">
      <c r="B19" s="248" t="s">
        <v>254</v>
      </c>
      <c r="C19" s="248"/>
      <c r="D19" s="248"/>
      <c r="E19" s="248"/>
      <c r="F19" s="248"/>
      <c r="G19" s="450"/>
      <c r="H19" s="1266" t="s">
        <v>627</v>
      </c>
      <c r="I19" s="1267"/>
      <c r="O19"/>
      <c r="P19"/>
      <c r="Q19"/>
      <c r="R19"/>
      <c r="S19"/>
      <c r="T19"/>
      <c r="U19"/>
    </row>
    <row r="20" spans="2:21" ht="21" customHeight="1">
      <c r="B20" s="248"/>
      <c r="C20" s="248"/>
      <c r="D20" s="248"/>
      <c r="E20" s="248"/>
      <c r="F20" s="248"/>
      <c r="G20" s="114"/>
      <c r="H20" s="1418"/>
      <c r="I20" s="1419"/>
      <c r="O20"/>
      <c r="P20"/>
      <c r="Q20"/>
      <c r="R20"/>
      <c r="S20"/>
      <c r="T20"/>
      <c r="U20"/>
    </row>
    <row r="21" spans="2:21" ht="21" customHeight="1">
      <c r="B21" s="248"/>
      <c r="C21" s="248"/>
      <c r="D21" s="248"/>
      <c r="E21" s="248"/>
      <c r="F21" s="248"/>
      <c r="G21" s="114"/>
      <c r="H21" s="1418"/>
      <c r="I21" s="1419"/>
      <c r="O21"/>
      <c r="P21"/>
      <c r="Q21"/>
      <c r="R21"/>
      <c r="S21"/>
      <c r="T21"/>
      <c r="U21"/>
    </row>
    <row r="22" spans="2:21" ht="21" customHeight="1" thickBot="1">
      <c r="B22" s="248" t="str">
        <f>B11</f>
        <v>Outstanding - December 31, 2024</v>
      </c>
      <c r="C22" s="248"/>
      <c r="D22" s="248"/>
      <c r="E22" s="248"/>
      <c r="F22" s="248"/>
      <c r="G22" s="133">
        <f>+H17+H18-G19-G20-G21+H20+H21</f>
        <v>0</v>
      </c>
      <c r="H22" s="1270" t="s">
        <v>627</v>
      </c>
      <c r="I22" s="1271"/>
      <c r="O22"/>
      <c r="P22"/>
      <c r="Q22"/>
      <c r="R22"/>
      <c r="S22"/>
      <c r="T22"/>
      <c r="U22"/>
    </row>
    <row r="23" spans="2:21" ht="21" customHeight="1" thickBot="1">
      <c r="G23" s="129">
        <f>SUM(G17:G22)</f>
        <v>0</v>
      </c>
      <c r="H23" s="1315">
        <f>SUM(H17:I22)</f>
        <v>0</v>
      </c>
      <c r="I23" s="1316"/>
    </row>
    <row r="24" spans="2:21" ht="21" customHeight="1" thickTop="1">
      <c r="B24" s="333" t="str">
        <f>B13</f>
        <v>2025 Loan Maturities</v>
      </c>
      <c r="C24" s="333"/>
      <c r="D24" s="333"/>
      <c r="E24" s="333"/>
      <c r="F24" s="333"/>
      <c r="G24" s="333"/>
      <c r="H24" s="333"/>
      <c r="I24" s="381"/>
      <c r="J24" s="333" t="s">
        <v>373</v>
      </c>
      <c r="K24" s="1311"/>
      <c r="L24" s="1311"/>
    </row>
    <row r="25" spans="2:21" ht="21" customHeight="1" thickBot="1">
      <c r="B25" s="311" t="str">
        <f>B14</f>
        <v>2025 Interest on Loans</v>
      </c>
      <c r="C25" s="311"/>
      <c r="D25" s="311"/>
      <c r="E25" s="311"/>
      <c r="F25" s="311"/>
      <c r="G25" s="380"/>
      <c r="H25" s="311" t="s">
        <v>373</v>
      </c>
      <c r="I25" s="456"/>
      <c r="J25" s="375"/>
      <c r="K25" s="311"/>
      <c r="L25" s="311"/>
    </row>
    <row r="26" spans="2:21" ht="21" customHeight="1" thickTop="1"/>
    <row r="27" spans="2:21" ht="19.5" customHeight="1" thickBot="1">
      <c r="B27" s="1420" t="str">
        <f>"INTEREST  ON  LOANS  - "&amp;UPPER('KEY INPUTS'!D54)&amp;"  UTILITY  BUDGET"</f>
        <v>INTEREST  ON  LOANS  - WATER  UTILITY  BUDGET</v>
      </c>
      <c r="C27" s="1420"/>
      <c r="D27" s="1420"/>
      <c r="E27" s="1420"/>
      <c r="F27" s="1420"/>
      <c r="G27" s="1420"/>
      <c r="H27" s="1420"/>
      <c r="I27" s="1420"/>
      <c r="J27" s="1420"/>
      <c r="K27" s="1420"/>
      <c r="L27" s="1420"/>
    </row>
    <row r="28" spans="2:21" ht="21" customHeight="1" thickTop="1">
      <c r="B28" s="313" t="str">
        <f>'49a-Utility1'!B28</f>
        <v>2025 Interest on Loans (*Items)</v>
      </c>
      <c r="C28" s="313"/>
      <c r="D28" s="313"/>
      <c r="E28" s="313"/>
      <c r="F28" s="313"/>
      <c r="G28" s="313"/>
      <c r="H28" s="313" t="s">
        <v>373</v>
      </c>
      <c r="I28" s="384">
        <f>+I25+I14</f>
        <v>0</v>
      </c>
    </row>
    <row r="29" spans="2:21" ht="21" customHeight="1">
      <c r="B29" s="248" t="str">
        <f>'49a-Utility1'!B29</f>
        <v>Less: Interest Accrued to 12/31/2024 (Trial Balance)</v>
      </c>
      <c r="C29" s="248"/>
      <c r="D29" s="248"/>
      <c r="E29" s="248"/>
      <c r="F29" s="248"/>
      <c r="G29" s="248"/>
      <c r="H29" s="248" t="s">
        <v>373</v>
      </c>
      <c r="I29" s="449"/>
    </row>
    <row r="30" spans="2:21" ht="21" customHeight="1">
      <c r="B30" s="248"/>
      <c r="C30" s="248" t="s">
        <v>317</v>
      </c>
      <c r="D30" s="248"/>
      <c r="E30" s="248"/>
      <c r="F30" s="248"/>
      <c r="G30" s="248"/>
      <c r="H30" s="248" t="s">
        <v>373</v>
      </c>
      <c r="I30" s="379">
        <f>+I28-I29</f>
        <v>0</v>
      </c>
    </row>
    <row r="31" spans="2:21" ht="21" customHeight="1">
      <c r="B31" s="248" t="str">
        <f>'49a-Utility1'!B31</f>
        <v>Add: Interest to be Accrued as of 12/31/2025</v>
      </c>
      <c r="C31" s="248"/>
      <c r="D31" s="248"/>
      <c r="E31" s="248"/>
      <c r="F31" s="248"/>
      <c r="G31" s="248"/>
      <c r="H31" s="248" t="s">
        <v>373</v>
      </c>
      <c r="I31" s="449"/>
    </row>
    <row r="32" spans="2:21" ht="21" customHeight="1">
      <c r="B32" s="248" t="str">
        <f>'49a-Utility1'!B32</f>
        <v>Required Appropriation 2025</v>
      </c>
      <c r="C32" s="248"/>
      <c r="D32" s="248"/>
      <c r="E32" s="248"/>
      <c r="F32" s="248"/>
      <c r="G32" s="248"/>
      <c r="H32" s="248"/>
      <c r="I32" s="312"/>
      <c r="J32" s="376" t="s">
        <v>373</v>
      </c>
      <c r="K32" s="1414">
        <f>+I30+I31</f>
        <v>0</v>
      </c>
      <c r="L32" s="1415"/>
    </row>
    <row r="33" spans="2:12" ht="13.5" customHeight="1">
      <c r="K33" s="378"/>
      <c r="L33" s="302"/>
    </row>
    <row r="34" spans="2:12" ht="13.5" customHeight="1">
      <c r="K34" s="378"/>
      <c r="L34" s="302"/>
    </row>
    <row r="35" spans="2:12" ht="21" customHeight="1" thickBot="1">
      <c r="B35" s="1404" t="str">
        <f>"LIST  OF  LOANS  ISSUED  DURING  "&amp;IF('KEY INPUTS'!C42="State Fiscal Year","FISCAL  YEAR  "&amp;'KEY INPUTS'!D33&amp;"",'KEY INPUTS'!D34)&amp;""</f>
        <v>LIST  OF  LOANS  ISSUED  DURING  2024</v>
      </c>
      <c r="C35" s="1404"/>
      <c r="D35" s="1404"/>
      <c r="E35" s="1404"/>
      <c r="F35" s="1404"/>
      <c r="G35" s="1404"/>
      <c r="H35" s="1404"/>
      <c r="I35" s="1404"/>
      <c r="J35" s="1404"/>
      <c r="K35" s="1404"/>
      <c r="L35" s="1404"/>
    </row>
    <row r="36" spans="2:12" ht="27" customHeight="1" thickTop="1" thickBot="1">
      <c r="B36" s="1350" t="s">
        <v>413</v>
      </c>
      <c r="C36" s="1350"/>
      <c r="D36" s="1350"/>
      <c r="E36" s="1350"/>
      <c r="F36" s="1350"/>
      <c r="G36" s="304" t="str">
        <f>'49a-Utility1'!G36</f>
        <v>2025 Maturity</v>
      </c>
      <c r="H36" s="1401" t="s">
        <v>91</v>
      </c>
      <c r="I36" s="1351"/>
      <c r="J36" s="1399" t="s">
        <v>89</v>
      </c>
      <c r="K36" s="1400"/>
      <c r="L36" s="377" t="s">
        <v>90</v>
      </c>
    </row>
    <row r="37" spans="2:12" ht="21" customHeight="1" thickTop="1">
      <c r="B37" s="518"/>
      <c r="C37" s="518"/>
      <c r="D37" s="518"/>
      <c r="E37" s="518"/>
      <c r="F37" s="518"/>
      <c r="G37" s="454"/>
      <c r="H37" s="1293"/>
      <c r="I37" s="1294"/>
      <c r="J37" s="1422"/>
      <c r="K37" s="1417"/>
      <c r="L37" s="669"/>
    </row>
    <row r="38" spans="2:12" ht="21" customHeight="1">
      <c r="B38" s="495"/>
      <c r="C38" s="495"/>
      <c r="D38" s="495"/>
      <c r="E38" s="495"/>
      <c r="F38" s="495"/>
      <c r="G38" s="450"/>
      <c r="H38" s="1291"/>
      <c r="I38" s="1292"/>
      <c r="J38" s="1397"/>
      <c r="K38" s="1398"/>
      <c r="L38" s="670"/>
    </row>
    <row r="39" spans="2:12" ht="21" customHeight="1">
      <c r="B39" s="495"/>
      <c r="C39" s="495"/>
      <c r="D39" s="495"/>
      <c r="E39" s="495"/>
      <c r="F39" s="495"/>
      <c r="G39" s="450"/>
      <c r="H39" s="1291"/>
      <c r="I39" s="1292"/>
      <c r="J39" s="1397"/>
      <c r="K39" s="1398"/>
      <c r="L39" s="670"/>
    </row>
    <row r="40" spans="2:12" ht="21" customHeight="1">
      <c r="B40" s="495"/>
      <c r="C40" s="495"/>
      <c r="D40" s="495"/>
      <c r="E40" s="495"/>
      <c r="F40" s="495"/>
      <c r="G40" s="450"/>
      <c r="H40" s="1291"/>
      <c r="I40" s="1292"/>
      <c r="J40" s="1397"/>
      <c r="K40" s="1398"/>
      <c r="L40" s="670"/>
    </row>
    <row r="41" spans="2:12" ht="21" customHeight="1" thickBot="1">
      <c r="B41" s="311"/>
      <c r="C41" s="311"/>
      <c r="D41" s="311"/>
      <c r="E41" s="311"/>
      <c r="F41" s="310"/>
      <c r="G41" s="129">
        <f>SUM(G37:G40)</f>
        <v>0</v>
      </c>
      <c r="H41" s="1312">
        <f>SUM(H37:I40)</f>
        <v>0</v>
      </c>
      <c r="I41" s="1313"/>
      <c r="J41" s="375"/>
      <c r="K41" s="311"/>
      <c r="L41" s="315"/>
    </row>
    <row r="42" spans="2:12" ht="13.8" thickTop="1">
      <c r="G42" s="347"/>
      <c r="H42" s="347"/>
      <c r="I42" s="347"/>
    </row>
    <row r="51" spans="2:12" ht="13.8">
      <c r="B51" s="1353" t="s">
        <v>3355</v>
      </c>
      <c r="C51" s="1353"/>
      <c r="D51" s="1353"/>
      <c r="E51" s="1353"/>
      <c r="F51" s="1353"/>
      <c r="G51" s="1353"/>
      <c r="H51" s="1353"/>
      <c r="I51" s="1353"/>
      <c r="J51" s="1353"/>
      <c r="K51" s="1353"/>
      <c r="L51" s="1353"/>
    </row>
  </sheetData>
  <sheetProtection algorithmName="SHA-512" hashValue="3/IatIhf1GmfSiOwjr4Sjncvzc7x6psROnqrQwFw72H29mU2Z+S1KFeo5xkk/Do961G4Qmzi81tpm8uZCP2lwQ==" saltValue="ihgXqfjy70c0FITvlMIAtA=="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1:L51"/>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A2600-0192-4478-A03D-D95DA69CBC47}">
  <sheetPr codeName="Sheet294">
    <tabColor theme="6" tint="0.39997558519241921"/>
  </sheetPr>
  <dimension ref="A2:V30"/>
  <sheetViews>
    <sheetView zoomScaleNormal="100" zoomScaleSheetLayoutView="80" workbookViewId="0">
      <selection activeCell="H9" sqref="H9:I9"/>
    </sheetView>
  </sheetViews>
  <sheetFormatPr defaultColWidth="8.88671875" defaultRowHeight="13.2"/>
  <cols>
    <col min="1" max="1" width="5.6640625" style="267" customWidth="1"/>
    <col min="2" max="3" width="4.88671875" style="267" customWidth="1"/>
    <col min="4" max="4" width="30.44140625" style="267" customWidth="1"/>
    <col min="5" max="11" width="15.6640625" style="267" customWidth="1"/>
    <col min="12" max="12" width="1.6640625" style="267" customWidth="1"/>
    <col min="13" max="13" width="12.6640625" style="267" customWidth="1"/>
    <col min="14" max="16384" width="8.88671875" style="267"/>
  </cols>
  <sheetData>
    <row r="2" spans="1:22" ht="20.399999999999999">
      <c r="B2" s="1363" t="str">
        <f>"DEBT  SERVICE  FOR  "&amp;UPPER('KEY INPUTS'!D54)&amp;"  UTILITY  NOTES  (OTHER  THAN  UTILITY  ASSESSMENT  NOTES)"</f>
        <v>DEBT  SERVICE  FOR  WATER  UTILITY  NOTES  (OTHER  THAN  UTILITY  ASSESSMENT  NOTES)</v>
      </c>
      <c r="C2" s="1363"/>
      <c r="D2" s="1363"/>
      <c r="E2" s="1363"/>
      <c r="F2" s="1363"/>
      <c r="G2" s="1363"/>
      <c r="H2" s="1363"/>
      <c r="I2" s="1363"/>
      <c r="J2" s="1363"/>
      <c r="K2" s="1363"/>
      <c r="L2" s="1363"/>
      <c r="M2" s="1363"/>
    </row>
    <row r="3" spans="1:22" ht="21" thickBot="1">
      <c r="B3" s="1363"/>
      <c r="C3" s="1363"/>
      <c r="D3" s="1363"/>
      <c r="E3" s="1363"/>
      <c r="F3" s="1363"/>
      <c r="G3" s="1363"/>
      <c r="H3" s="1363"/>
      <c r="I3" s="1363"/>
      <c r="J3" s="1363"/>
      <c r="K3" s="1363"/>
      <c r="L3" s="1363"/>
      <c r="M3" s="1363"/>
    </row>
    <row r="4" spans="1:22" ht="13.5" customHeight="1" thickTop="1">
      <c r="B4" s="323"/>
      <c r="C4" s="323"/>
      <c r="D4" s="323"/>
      <c r="E4" s="324"/>
      <c r="F4" s="324"/>
      <c r="G4" s="324"/>
      <c r="H4" s="324"/>
      <c r="I4" s="324"/>
      <c r="J4" s="323"/>
      <c r="K4" s="846"/>
      <c r="L4" s="323"/>
      <c r="M4" s="847"/>
    </row>
    <row r="5" spans="1:22" ht="13.5" customHeight="1">
      <c r="E5" s="320" t="s">
        <v>139</v>
      </c>
      <c r="F5" s="319" t="s">
        <v>139</v>
      </c>
      <c r="G5" s="319" t="s">
        <v>414</v>
      </c>
      <c r="H5" s="319" t="s">
        <v>17</v>
      </c>
      <c r="I5" s="319" t="s">
        <v>542</v>
      </c>
      <c r="J5" s="1423" t="str">
        <f>IF('KEY INPUTS'!C42="State Fiscal Year","Fiscal Year "&amp;'KEY INPUTS'!D33+1&amp;"",'KEY INPUTS'!D34+1)&amp;""</f>
        <v>2025</v>
      </c>
      <c r="K5" s="1424"/>
      <c r="L5" s="848"/>
      <c r="M5" s="849" t="s">
        <v>543</v>
      </c>
    </row>
    <row r="6" spans="1:22" ht="13.5" customHeight="1">
      <c r="C6" s="1352" t="s">
        <v>138</v>
      </c>
      <c r="D6" s="1427"/>
      <c r="E6" s="320" t="s">
        <v>414</v>
      </c>
      <c r="F6" s="319" t="s">
        <v>140</v>
      </c>
      <c r="G6" s="319" t="s">
        <v>539</v>
      </c>
      <c r="H6" s="319" t="s">
        <v>540</v>
      </c>
      <c r="I6" s="319" t="s">
        <v>540</v>
      </c>
      <c r="J6" s="1425"/>
      <c r="K6" s="1426"/>
      <c r="L6" s="850"/>
      <c r="M6" s="849" t="s">
        <v>546</v>
      </c>
    </row>
    <row r="7" spans="1:22" ht="13.5" customHeight="1">
      <c r="E7" s="320" t="s">
        <v>92</v>
      </c>
      <c r="F7" s="320" t="s">
        <v>141</v>
      </c>
      <c r="G7" s="320" t="s">
        <v>198</v>
      </c>
      <c r="H7" s="320" t="s">
        <v>541</v>
      </c>
      <c r="I7" s="320" t="s">
        <v>543</v>
      </c>
      <c r="J7" s="320" t="s">
        <v>113</v>
      </c>
      <c r="K7" s="320" t="s">
        <v>544</v>
      </c>
      <c r="L7" s="319"/>
      <c r="M7" s="849" t="s">
        <v>547</v>
      </c>
    </row>
    <row r="8" spans="1:22" ht="13.5" customHeight="1" thickBot="1">
      <c r="B8" s="318"/>
      <c r="C8" s="318"/>
      <c r="D8" s="318"/>
      <c r="E8" s="316"/>
      <c r="F8" s="316"/>
      <c r="G8" s="605" t="str">
        <f>IF('KEY INPUTS'!C42 = "State Fiscal Year", 'KEY INPUTS'!F47,'KEY INPUTS'!D47)</f>
        <v>Dec. 31, 2024</v>
      </c>
      <c r="H8" s="316"/>
      <c r="I8" s="316"/>
      <c r="J8" s="317"/>
      <c r="K8" s="402"/>
      <c r="L8" s="851"/>
      <c r="M8" s="852"/>
      <c r="P8"/>
      <c r="Q8"/>
      <c r="R8"/>
      <c r="S8"/>
      <c r="T8"/>
      <c r="U8"/>
      <c r="V8"/>
    </row>
    <row r="9" spans="1:22" ht="21" customHeight="1" thickTop="1">
      <c r="B9" s="399" t="s">
        <v>292</v>
      </c>
      <c r="C9" s="518" t="s">
        <v>3684</v>
      </c>
      <c r="D9" s="520"/>
      <c r="E9" s="454">
        <v>220000</v>
      </c>
      <c r="F9" s="950">
        <v>43892</v>
      </c>
      <c r="G9" s="454">
        <v>154000</v>
      </c>
      <c r="H9" s="964">
        <v>45708</v>
      </c>
      <c r="I9" s="606">
        <v>0.05</v>
      </c>
      <c r="J9" s="454">
        <v>2784.81</v>
      </c>
      <c r="K9" s="454">
        <f>G9*I9</f>
        <v>7700</v>
      </c>
      <c r="L9" s="965"/>
      <c r="M9" s="966">
        <v>45708</v>
      </c>
      <c r="P9"/>
      <c r="Q9"/>
      <c r="R9"/>
      <c r="S9"/>
      <c r="T9"/>
      <c r="U9"/>
      <c r="V9"/>
    </row>
    <row r="10" spans="1:22" ht="21" customHeight="1">
      <c r="B10" s="398" t="s">
        <v>293</v>
      </c>
      <c r="C10" s="524"/>
      <c r="D10" s="499"/>
      <c r="E10" s="450"/>
      <c r="F10" s="951"/>
      <c r="G10" s="450"/>
      <c r="H10" s="967"/>
      <c r="I10" s="471"/>
      <c r="J10" s="968"/>
      <c r="K10" s="450"/>
      <c r="L10" s="479"/>
      <c r="M10" s="969"/>
      <c r="N10" s="267" t="s">
        <v>3131</v>
      </c>
      <c r="O10" s="267" t="s">
        <v>3131</v>
      </c>
      <c r="P10" s="294"/>
      <c r="Q10"/>
      <c r="R10"/>
      <c r="S10"/>
      <c r="T10"/>
      <c r="U10"/>
      <c r="V10"/>
    </row>
    <row r="11" spans="1:22" ht="21" customHeight="1">
      <c r="B11" s="398" t="s">
        <v>294</v>
      </c>
      <c r="C11" s="495"/>
      <c r="D11" s="499"/>
      <c r="E11" s="450"/>
      <c r="F11" s="529"/>
      <c r="G11" s="450"/>
      <c r="H11" s="450"/>
      <c r="I11" s="471"/>
      <c r="J11" s="450"/>
      <c r="K11" s="450"/>
      <c r="L11" s="479"/>
      <c r="M11" s="528"/>
      <c r="P11"/>
      <c r="Q11"/>
      <c r="R11"/>
      <c r="S11"/>
      <c r="T11"/>
      <c r="U11"/>
      <c r="V11"/>
    </row>
    <row r="12" spans="1:22" ht="21" customHeight="1">
      <c r="B12" s="398" t="s">
        <v>295</v>
      </c>
      <c r="C12" s="495"/>
      <c r="D12" s="499"/>
      <c r="E12" s="450"/>
      <c r="F12" s="529"/>
      <c r="G12" s="450"/>
      <c r="H12" s="450"/>
      <c r="I12" s="471"/>
      <c r="J12" s="450"/>
      <c r="K12" s="450"/>
      <c r="L12" s="479"/>
      <c r="M12" s="528"/>
      <c r="P12"/>
      <c r="Q12"/>
      <c r="R12"/>
      <c r="S12"/>
      <c r="T12"/>
      <c r="U12"/>
      <c r="V12"/>
    </row>
    <row r="13" spans="1:22" ht="21" customHeight="1">
      <c r="B13" s="398" t="s">
        <v>296</v>
      </c>
      <c r="C13" s="495"/>
      <c r="D13" s="499"/>
      <c r="E13" s="450"/>
      <c r="F13" s="529"/>
      <c r="G13" s="450"/>
      <c r="H13" s="450"/>
      <c r="I13" s="471"/>
      <c r="J13" s="450"/>
      <c r="K13" s="450"/>
      <c r="L13" s="479"/>
      <c r="M13" s="528"/>
      <c r="P13"/>
      <c r="Q13"/>
      <c r="R13"/>
      <c r="S13"/>
      <c r="T13"/>
      <c r="U13"/>
      <c r="V13"/>
    </row>
    <row r="14" spans="1:22" ht="21" customHeight="1">
      <c r="B14" s="398" t="s">
        <v>297</v>
      </c>
      <c r="C14" s="495"/>
      <c r="D14" s="499"/>
      <c r="E14" s="453"/>
      <c r="F14" s="530"/>
      <c r="G14" s="453"/>
      <c r="H14" s="453"/>
      <c r="I14" s="474"/>
      <c r="J14" s="450"/>
      <c r="K14" s="450"/>
      <c r="L14" s="479"/>
      <c r="M14" s="528"/>
      <c r="P14"/>
      <c r="Q14"/>
      <c r="R14"/>
      <c r="S14"/>
      <c r="T14"/>
      <c r="U14"/>
      <c r="V14"/>
    </row>
    <row r="15" spans="1:22" ht="21" customHeight="1">
      <c r="A15" s="1367" t="s">
        <v>3167</v>
      </c>
      <c r="B15" s="398" t="s">
        <v>298</v>
      </c>
      <c r="C15" s="531"/>
      <c r="D15" s="532"/>
      <c r="E15" s="450"/>
      <c r="F15" s="529"/>
      <c r="G15" s="450"/>
      <c r="H15" s="450"/>
      <c r="I15" s="471"/>
      <c r="J15" s="450"/>
      <c r="K15" s="450"/>
      <c r="L15" s="479"/>
      <c r="M15" s="528"/>
      <c r="P15"/>
      <c r="Q15"/>
      <c r="R15"/>
      <c r="S15"/>
      <c r="T15"/>
      <c r="U15"/>
      <c r="V15"/>
    </row>
    <row r="16" spans="1:22" ht="21" customHeight="1">
      <c r="A16" s="1367"/>
      <c r="B16" s="398" t="s">
        <v>384</v>
      </c>
      <c r="C16" s="495"/>
      <c r="D16" s="499"/>
      <c r="E16" s="450"/>
      <c r="F16" s="529"/>
      <c r="G16" s="450"/>
      <c r="H16" s="450"/>
      <c r="I16" s="471"/>
      <c r="J16" s="450"/>
      <c r="K16" s="450"/>
      <c r="L16" s="479"/>
      <c r="M16" s="528"/>
      <c r="P16"/>
      <c r="Q16"/>
      <c r="R16"/>
      <c r="S16"/>
      <c r="T16"/>
      <c r="U16"/>
      <c r="V16"/>
    </row>
    <row r="17" spans="1:22" ht="21" customHeight="1">
      <c r="A17" s="1367"/>
      <c r="B17" s="398" t="s">
        <v>385</v>
      </c>
      <c r="C17" s="495"/>
      <c r="D17" s="499"/>
      <c r="E17" s="450"/>
      <c r="F17" s="529"/>
      <c r="G17" s="450"/>
      <c r="H17" s="450"/>
      <c r="I17" s="471"/>
      <c r="J17" s="450"/>
      <c r="K17" s="450"/>
      <c r="L17" s="479"/>
      <c r="M17" s="528"/>
      <c r="P17"/>
      <c r="Q17"/>
      <c r="R17"/>
      <c r="S17"/>
      <c r="T17"/>
      <c r="U17"/>
      <c r="V17"/>
    </row>
    <row r="18" spans="1:22" ht="21" customHeight="1">
      <c r="A18" s="397"/>
      <c r="B18" s="538" t="s">
        <v>786</v>
      </c>
      <c r="C18" s="248"/>
      <c r="D18" s="312"/>
      <c r="E18" s="114">
        <f>SUM(E9:E17)</f>
        <v>220000</v>
      </c>
      <c r="F18" s="534"/>
      <c r="G18" s="114">
        <f>SUM(G9:G17)</f>
        <v>154000</v>
      </c>
      <c r="H18" s="114"/>
      <c r="I18" s="970"/>
      <c r="J18" s="114">
        <f>SUM(J9:J17)</f>
        <v>2784.81</v>
      </c>
      <c r="K18" s="114">
        <f>SUM(K9:K17)</f>
        <v>7700</v>
      </c>
      <c r="L18" s="971"/>
      <c r="M18" s="537"/>
      <c r="P18"/>
      <c r="Q18"/>
      <c r="R18"/>
      <c r="S18"/>
      <c r="T18"/>
      <c r="U18"/>
      <c r="V18"/>
    </row>
    <row r="19" spans="1:22" ht="21" customHeight="1">
      <c r="A19" s="397"/>
      <c r="B19" s="368"/>
      <c r="E19" s="176"/>
      <c r="G19" s="176"/>
      <c r="H19" s="176"/>
      <c r="I19" s="972"/>
      <c r="J19" s="176"/>
      <c r="K19" s="176"/>
      <c r="L19" s="176"/>
      <c r="P19"/>
      <c r="Q19"/>
      <c r="R19"/>
      <c r="S19"/>
      <c r="T19"/>
      <c r="U19"/>
      <c r="V19"/>
    </row>
    <row r="20" spans="1:22" ht="21" customHeight="1">
      <c r="A20" s="397"/>
      <c r="B20" s="368"/>
      <c r="E20" s="176"/>
      <c r="G20" s="176"/>
      <c r="H20" s="176"/>
      <c r="I20" s="972"/>
      <c r="J20" s="176"/>
      <c r="K20" s="176"/>
      <c r="L20" s="176"/>
      <c r="P20"/>
      <c r="Q20"/>
      <c r="R20"/>
      <c r="S20"/>
      <c r="T20"/>
      <c r="U20"/>
      <c r="V20"/>
    </row>
    <row r="21" spans="1:22" ht="13.5" customHeight="1">
      <c r="B21" s="394"/>
      <c r="C21" s="309"/>
      <c r="D21" s="393"/>
      <c r="J21" s="385"/>
      <c r="P21"/>
      <c r="Q21"/>
      <c r="R21"/>
      <c r="S21"/>
      <c r="T21"/>
      <c r="U21"/>
      <c r="V21"/>
    </row>
    <row r="22" spans="1:22">
      <c r="B22" s="361" t="s">
        <v>40</v>
      </c>
      <c r="C22" s="385"/>
      <c r="D22" s="392"/>
      <c r="E22" s="385"/>
      <c r="I22" s="1392"/>
      <c r="J22" s="1392"/>
      <c r="K22" s="1392"/>
      <c r="L22" s="1392"/>
      <c r="M22" s="1392"/>
      <c r="P22"/>
      <c r="Q22"/>
      <c r="R22"/>
      <c r="S22"/>
      <c r="T22"/>
      <c r="U22"/>
      <c r="V22"/>
    </row>
    <row r="23" spans="1:22" ht="15.6" customHeight="1">
      <c r="B23" s="386" t="s">
        <v>41</v>
      </c>
      <c r="C23" s="386"/>
      <c r="D23" s="361" t="s">
        <v>3577</v>
      </c>
      <c r="E23" s="385"/>
      <c r="M23" s="61"/>
      <c r="P23"/>
      <c r="Q23"/>
      <c r="R23"/>
      <c r="S23"/>
      <c r="T23"/>
      <c r="U23"/>
      <c r="V23"/>
    </row>
    <row r="24" spans="1:22" ht="15.6" customHeight="1">
      <c r="B24" s="361"/>
      <c r="C24" s="361"/>
      <c r="D24" s="386" t="s">
        <v>42</v>
      </c>
      <c r="E24" s="385"/>
      <c r="M24" s="973"/>
      <c r="P24"/>
      <c r="Q24"/>
      <c r="R24"/>
      <c r="S24"/>
      <c r="T24"/>
      <c r="U24"/>
      <c r="V24"/>
    </row>
    <row r="25" spans="1:22" ht="15.6" customHeight="1">
      <c r="B25" s="361"/>
      <c r="C25" s="361"/>
      <c r="D25" s="361" t="s">
        <v>43</v>
      </c>
      <c r="E25" s="385"/>
      <c r="M25" s="61"/>
    </row>
    <row r="26" spans="1:22" ht="15.6" customHeight="1">
      <c r="B26" s="361"/>
      <c r="C26" s="361"/>
      <c r="D26" s="361" t="str">
        <f>"All notes with an original date of issue of "&amp;IF('KEY INPUTS'!C42="State Fiscal Year","FY "&amp;'KEY INPUTS'!D33-2&amp;"",'KEY INPUTS'!D34-2)&amp;" or prior require one legally payable installment to be budgeted if"</f>
        <v>All notes with an original date of issue of 2022 or prior require one legally payable installment to be budgeted if</v>
      </c>
      <c r="E26" s="385"/>
      <c r="M26" s="973"/>
    </row>
    <row r="27" spans="1:22" ht="15.6" customHeight="1">
      <c r="B27" s="361"/>
      <c r="C27" s="361"/>
      <c r="D27" s="361" t="str">
        <f>"it is contemplated that such notes will be renewed in "&amp;IF('KEY INPUTS'!C42="State Fiscal Year","FY "&amp;'KEY INPUTS'!D33+1&amp;"",'KEY INPUTS'!D34+1)&amp;" or written intent of permanent financing submitted."</f>
        <v>it is contemplated that such notes will be renewed in 2025 or written intent of permanent financing submitted.</v>
      </c>
      <c r="E27" s="385"/>
      <c r="M27" s="61"/>
    </row>
    <row r="28" spans="1:22">
      <c r="B28" s="361"/>
      <c r="C28" s="361"/>
      <c r="D28" s="361" t="s">
        <v>44</v>
      </c>
      <c r="E28" s="385"/>
    </row>
    <row r="29" spans="1:22">
      <c r="B29" s="385"/>
      <c r="C29" s="385"/>
      <c r="D29" s="386" t="s">
        <v>45</v>
      </c>
      <c r="E29" s="385"/>
    </row>
    <row r="30" spans="1:22">
      <c r="J30" s="385" t="s">
        <v>98</v>
      </c>
    </row>
  </sheetData>
  <sheetProtection algorithmName="SHA-512" hashValue="h4D7UrdxJ9Vt2LHbSrUe6l4uNBo7psewvtoZzv8smJ5VRZw2nbRKXEouQMDb+YWaFCUm0NuMJJGfzsNM9Y+tTw==" saltValue="FBs3xou2fvoo7zbHF7+EvQ=="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7B8EA-EDBB-491F-AE5C-65473960A2FA}">
  <sheetPr codeName="Sheet168">
    <tabColor theme="6" tint="0.39997558519241921"/>
  </sheetPr>
  <dimension ref="A2:V30"/>
  <sheetViews>
    <sheetView zoomScaleNormal="100" zoomScaleSheetLayoutView="80" workbookViewId="0">
      <selection activeCell="M27" sqref="M27"/>
    </sheetView>
  </sheetViews>
  <sheetFormatPr defaultColWidth="8.88671875" defaultRowHeight="13.2"/>
  <cols>
    <col min="1" max="1" width="5.6640625" style="267" customWidth="1"/>
    <col min="2" max="3" width="4.88671875" style="267" customWidth="1"/>
    <col min="4" max="4" width="30.44140625" style="267" customWidth="1"/>
    <col min="5" max="11" width="15.6640625" style="267" customWidth="1"/>
    <col min="12" max="12" width="1.6640625" style="267" customWidth="1"/>
    <col min="13" max="13" width="12.6640625" style="267" customWidth="1"/>
    <col min="14" max="16384" width="8.88671875" style="267"/>
  </cols>
  <sheetData>
    <row r="2" spans="1:22" ht="20.399999999999999">
      <c r="B2" s="1363" t="str">
        <f>"DEBT  SERVICE  FOR  "&amp;UPPER('KEY INPUTS'!D54)&amp;"  UTILITY  NOTES  (OTHER  THAN  UTILITY  ASSESSMENT  NOTES)"</f>
        <v>DEBT  SERVICE  FOR  WATER  UTILITY  NOTES  (OTHER  THAN  UTILITY  ASSESSMENT  NOTES)</v>
      </c>
      <c r="C2" s="1363"/>
      <c r="D2" s="1363"/>
      <c r="E2" s="1363"/>
      <c r="F2" s="1363"/>
      <c r="G2" s="1363"/>
      <c r="H2" s="1363"/>
      <c r="I2" s="1363"/>
      <c r="J2" s="1363"/>
      <c r="K2" s="1363"/>
      <c r="L2" s="1363"/>
      <c r="M2" s="1363"/>
    </row>
    <row r="3" spans="1:22" ht="21" thickBot="1">
      <c r="B3" s="1363"/>
      <c r="C3" s="1363"/>
      <c r="D3" s="1363"/>
      <c r="E3" s="1363"/>
      <c r="F3" s="1363"/>
      <c r="G3" s="1363"/>
      <c r="H3" s="1363"/>
      <c r="I3" s="1363"/>
      <c r="J3" s="1363"/>
      <c r="K3" s="1363"/>
      <c r="L3" s="1363"/>
      <c r="M3" s="1363"/>
    </row>
    <row r="4" spans="1:22" ht="13.5" customHeight="1" thickTop="1">
      <c r="B4" s="323"/>
      <c r="C4" s="323"/>
      <c r="D4" s="323"/>
      <c r="E4" s="324"/>
      <c r="F4" s="324"/>
      <c r="G4" s="324"/>
      <c r="H4" s="324"/>
      <c r="I4" s="324"/>
      <c r="J4" s="323"/>
      <c r="K4" s="846"/>
      <c r="L4" s="323"/>
      <c r="M4" s="847"/>
    </row>
    <row r="5" spans="1:22" ht="13.5" customHeight="1">
      <c r="E5" s="320" t="s">
        <v>139</v>
      </c>
      <c r="F5" s="319" t="s">
        <v>139</v>
      </c>
      <c r="G5" s="319" t="s">
        <v>414</v>
      </c>
      <c r="H5" s="319" t="s">
        <v>17</v>
      </c>
      <c r="I5" s="319" t="s">
        <v>542</v>
      </c>
      <c r="J5" s="1423" t="str">
        <f>IF('KEY INPUTS'!C42="State Fiscal Year","Fiscal Year "&amp;'KEY INPUTS'!D33+1&amp;"",'KEY INPUTS'!D34+1)&amp;""</f>
        <v>2025</v>
      </c>
      <c r="K5" s="1424"/>
      <c r="L5" s="848"/>
      <c r="M5" s="849" t="s">
        <v>543</v>
      </c>
    </row>
    <row r="6" spans="1:22" ht="13.5" customHeight="1">
      <c r="C6" s="1352" t="s">
        <v>138</v>
      </c>
      <c r="D6" s="1427"/>
      <c r="E6" s="320" t="s">
        <v>414</v>
      </c>
      <c r="F6" s="319" t="s">
        <v>140</v>
      </c>
      <c r="G6" s="319" t="s">
        <v>539</v>
      </c>
      <c r="H6" s="319" t="s">
        <v>540</v>
      </c>
      <c r="I6" s="319" t="s">
        <v>540</v>
      </c>
      <c r="J6" s="1425"/>
      <c r="K6" s="1426"/>
      <c r="L6" s="850"/>
      <c r="M6" s="849" t="s">
        <v>546</v>
      </c>
    </row>
    <row r="7" spans="1:22" ht="13.5" customHeight="1">
      <c r="E7" s="320" t="s">
        <v>92</v>
      </c>
      <c r="F7" s="320" t="s">
        <v>141</v>
      </c>
      <c r="G7" s="320" t="s">
        <v>198</v>
      </c>
      <c r="H7" s="320" t="s">
        <v>541</v>
      </c>
      <c r="I7" s="320" t="s">
        <v>543</v>
      </c>
      <c r="J7" s="320" t="s">
        <v>113</v>
      </c>
      <c r="K7" s="320" t="s">
        <v>544</v>
      </c>
      <c r="L7" s="319"/>
      <c r="M7" s="849" t="s">
        <v>547</v>
      </c>
    </row>
    <row r="8" spans="1:22" ht="13.5" customHeight="1" thickBot="1">
      <c r="B8" s="318"/>
      <c r="C8" s="318"/>
      <c r="D8" s="318"/>
      <c r="E8" s="316"/>
      <c r="F8" s="316"/>
      <c r="G8" s="605" t="str">
        <f>'50-Utility1'!G8</f>
        <v>Dec. 31, 2024</v>
      </c>
      <c r="H8" s="316"/>
      <c r="I8" s="316"/>
      <c r="J8" s="317"/>
      <c r="K8" s="402"/>
      <c r="L8" s="851"/>
      <c r="M8" s="852"/>
      <c r="P8"/>
      <c r="Q8"/>
      <c r="R8"/>
      <c r="S8"/>
      <c r="T8"/>
      <c r="U8"/>
      <c r="V8"/>
    </row>
    <row r="9" spans="1:22" ht="21" customHeight="1" thickTop="1">
      <c r="B9" s="399" t="s">
        <v>292</v>
      </c>
      <c r="C9" s="518"/>
      <c r="D9" s="520"/>
      <c r="E9" s="466"/>
      <c r="F9" s="950"/>
      <c r="G9" s="466"/>
      <c r="H9" s="522"/>
      <c r="I9" s="468"/>
      <c r="J9" s="466"/>
      <c r="K9" s="466"/>
      <c r="L9" s="477"/>
      <c r="M9" s="523"/>
      <c r="P9"/>
      <c r="Q9"/>
      <c r="R9"/>
      <c r="S9"/>
      <c r="T9"/>
      <c r="U9"/>
      <c r="V9"/>
    </row>
    <row r="10" spans="1:22" ht="21" customHeight="1">
      <c r="B10" s="398" t="s">
        <v>293</v>
      </c>
      <c r="C10" s="524"/>
      <c r="D10" s="499"/>
      <c r="E10" s="450"/>
      <c r="F10" s="951"/>
      <c r="G10" s="450"/>
      <c r="H10" s="450"/>
      <c r="I10" s="526"/>
      <c r="J10" s="527"/>
      <c r="K10" s="450"/>
      <c r="L10" s="479"/>
      <c r="M10" s="528"/>
      <c r="N10" s="267" t="s">
        <v>3131</v>
      </c>
      <c r="O10" s="267" t="s">
        <v>3131</v>
      </c>
      <c r="P10" s="294"/>
      <c r="Q10"/>
      <c r="R10"/>
      <c r="S10"/>
      <c r="T10"/>
      <c r="U10"/>
      <c r="V10"/>
    </row>
    <row r="11" spans="1:22" ht="21" customHeight="1">
      <c r="B11" s="398" t="s">
        <v>294</v>
      </c>
      <c r="C11" s="495"/>
      <c r="D11" s="499"/>
      <c r="E11" s="450"/>
      <c r="F11" s="529"/>
      <c r="G11" s="450"/>
      <c r="H11" s="450"/>
      <c r="I11" s="471"/>
      <c r="J11" s="450"/>
      <c r="K11" s="450"/>
      <c r="L11" s="479"/>
      <c r="M11" s="528"/>
      <c r="P11"/>
      <c r="Q11"/>
      <c r="R11"/>
      <c r="S11"/>
      <c r="T11"/>
      <c r="U11"/>
      <c r="V11"/>
    </row>
    <row r="12" spans="1:22" ht="21" customHeight="1">
      <c r="B12" s="398" t="s">
        <v>295</v>
      </c>
      <c r="C12" s="495"/>
      <c r="D12" s="499"/>
      <c r="E12" s="450"/>
      <c r="F12" s="529"/>
      <c r="G12" s="450"/>
      <c r="H12" s="450"/>
      <c r="I12" s="471"/>
      <c r="J12" s="450"/>
      <c r="K12" s="450"/>
      <c r="L12" s="479"/>
      <c r="M12" s="528"/>
      <c r="P12"/>
      <c r="Q12"/>
      <c r="R12"/>
      <c r="S12"/>
      <c r="T12"/>
      <c r="U12"/>
      <c r="V12"/>
    </row>
    <row r="13" spans="1:22" ht="21" customHeight="1">
      <c r="B13" s="398" t="s">
        <v>296</v>
      </c>
      <c r="C13" s="495"/>
      <c r="D13" s="499"/>
      <c r="E13" s="450"/>
      <c r="F13" s="529"/>
      <c r="G13" s="450"/>
      <c r="H13" s="450"/>
      <c r="I13" s="471"/>
      <c r="J13" s="450"/>
      <c r="K13" s="450"/>
      <c r="L13" s="479"/>
      <c r="M13" s="528"/>
      <c r="P13"/>
      <c r="Q13"/>
      <c r="R13"/>
      <c r="S13"/>
      <c r="T13"/>
      <c r="U13"/>
      <c r="V13"/>
    </row>
    <row r="14" spans="1:22" ht="21" customHeight="1">
      <c r="B14" s="398" t="s">
        <v>297</v>
      </c>
      <c r="C14" s="495"/>
      <c r="D14" s="499"/>
      <c r="E14" s="453"/>
      <c r="F14" s="530"/>
      <c r="G14" s="453"/>
      <c r="H14" s="453"/>
      <c r="I14" s="474"/>
      <c r="J14" s="450"/>
      <c r="K14" s="450"/>
      <c r="L14" s="479"/>
      <c r="M14" s="528"/>
      <c r="P14"/>
      <c r="Q14"/>
      <c r="R14"/>
      <c r="S14"/>
      <c r="T14"/>
      <c r="U14"/>
      <c r="V14"/>
    </row>
    <row r="15" spans="1:22" ht="21" customHeight="1">
      <c r="A15" s="1367" t="s">
        <v>3167</v>
      </c>
      <c r="B15" s="398" t="s">
        <v>298</v>
      </c>
      <c r="C15" s="531"/>
      <c r="D15" s="532"/>
      <c r="E15" s="450"/>
      <c r="F15" s="529"/>
      <c r="G15" s="450"/>
      <c r="H15" s="450"/>
      <c r="I15" s="471"/>
      <c r="J15" s="450"/>
      <c r="K15" s="450"/>
      <c r="L15" s="479"/>
      <c r="M15" s="528"/>
      <c r="P15"/>
      <c r="Q15"/>
      <c r="R15"/>
      <c r="S15"/>
      <c r="T15"/>
      <c r="U15"/>
      <c r="V15"/>
    </row>
    <row r="16" spans="1:22" ht="21" customHeight="1">
      <c r="A16" s="1367"/>
      <c r="B16" s="398" t="s">
        <v>384</v>
      </c>
      <c r="C16" s="495"/>
      <c r="D16" s="499"/>
      <c r="E16" s="450"/>
      <c r="F16" s="529"/>
      <c r="G16" s="450"/>
      <c r="H16" s="450"/>
      <c r="I16" s="471"/>
      <c r="J16" s="450"/>
      <c r="K16" s="450"/>
      <c r="L16" s="479"/>
      <c r="M16" s="528"/>
      <c r="P16"/>
      <c r="Q16"/>
      <c r="R16"/>
      <c r="S16"/>
      <c r="T16"/>
      <c r="U16"/>
      <c r="V16"/>
    </row>
    <row r="17" spans="1:22" ht="21" customHeight="1">
      <c r="A17" s="1367"/>
      <c r="B17" s="398" t="s">
        <v>385</v>
      </c>
      <c r="C17" s="495"/>
      <c r="D17" s="499"/>
      <c r="E17" s="450"/>
      <c r="F17" s="529"/>
      <c r="G17" s="450"/>
      <c r="H17" s="450"/>
      <c r="I17" s="471"/>
      <c r="J17" s="450"/>
      <c r="K17" s="450"/>
      <c r="L17" s="479"/>
      <c r="M17" s="528"/>
      <c r="P17"/>
      <c r="Q17"/>
      <c r="R17"/>
      <c r="S17"/>
      <c r="T17"/>
      <c r="U17"/>
      <c r="V17"/>
    </row>
    <row r="18" spans="1:22" ht="21" customHeight="1">
      <c r="A18" s="397"/>
      <c r="B18" s="538" t="s">
        <v>786</v>
      </c>
      <c r="C18" s="248"/>
      <c r="D18" s="312"/>
      <c r="E18" s="533">
        <f>SUM(E9:E17)+'50-Utility1'!E18</f>
        <v>220000</v>
      </c>
      <c r="F18" s="534"/>
      <c r="G18" s="533">
        <f>SUM(G9:G17)+'50-Utility1'!G18</f>
        <v>154000</v>
      </c>
      <c r="H18" s="533"/>
      <c r="I18" s="535"/>
      <c r="J18" s="533">
        <f>SUM(J9:J17)+'50-Utility1'!J18</f>
        <v>2784.81</v>
      </c>
      <c r="K18" s="533">
        <f>SUM(K9:K17)+'50-Utility1'!K18</f>
        <v>7700</v>
      </c>
      <c r="L18" s="536"/>
      <c r="M18" s="537"/>
      <c r="P18"/>
      <c r="Q18"/>
      <c r="R18"/>
      <c r="S18"/>
      <c r="T18"/>
      <c r="U18"/>
      <c r="V18"/>
    </row>
    <row r="19" spans="1:22" ht="21" customHeight="1">
      <c r="A19" s="397"/>
      <c r="B19" s="368"/>
      <c r="E19" s="395"/>
      <c r="G19" s="395"/>
      <c r="H19" s="395"/>
      <c r="I19" s="396"/>
      <c r="J19" s="395"/>
      <c r="K19" s="395"/>
      <c r="L19" s="395"/>
      <c r="P19"/>
      <c r="Q19"/>
      <c r="R19"/>
      <c r="S19"/>
      <c r="T19"/>
      <c r="U19"/>
      <c r="V19"/>
    </row>
    <row r="20" spans="1:22" ht="21" customHeight="1">
      <c r="A20" s="397"/>
      <c r="B20" s="368"/>
      <c r="E20" s="395"/>
      <c r="G20" s="395"/>
      <c r="H20" s="395"/>
      <c r="I20" s="396"/>
      <c r="J20" s="395"/>
      <c r="K20" s="395"/>
      <c r="L20" s="395"/>
      <c r="P20"/>
      <c r="Q20"/>
      <c r="R20"/>
      <c r="S20"/>
      <c r="T20"/>
      <c r="U20"/>
      <c r="V20"/>
    </row>
    <row r="21" spans="1:22" ht="13.5" customHeight="1" thickBot="1">
      <c r="B21" s="394"/>
      <c r="C21" s="309"/>
      <c r="D21" s="393"/>
      <c r="J21" s="385"/>
      <c r="P21"/>
      <c r="Q21"/>
      <c r="R21"/>
      <c r="S21"/>
      <c r="T21"/>
      <c r="U21"/>
      <c r="V21"/>
    </row>
    <row r="22" spans="1:22" ht="14.4" thickTop="1" thickBot="1">
      <c r="B22" s="361" t="s">
        <v>40</v>
      </c>
      <c r="C22" s="385"/>
      <c r="D22" s="392"/>
      <c r="E22" s="385"/>
      <c r="I22" s="1428" t="str">
        <f>"INTEREST  ON  NOTES  -  "&amp;UPPER('KEY INPUTS'!D54)&amp;" UTILITY  BUDGET"</f>
        <v>INTEREST  ON  NOTES  -  WATER UTILITY  BUDGET</v>
      </c>
      <c r="J22" s="1429"/>
      <c r="K22" s="1429"/>
      <c r="L22" s="1429"/>
      <c r="M22" s="1430"/>
      <c r="P22"/>
      <c r="Q22"/>
      <c r="R22"/>
      <c r="S22"/>
      <c r="T22"/>
      <c r="U22"/>
      <c r="V22"/>
    </row>
    <row r="23" spans="1:22" ht="15.6" customHeight="1">
      <c r="B23" s="386" t="s">
        <v>41</v>
      </c>
      <c r="C23" s="386"/>
      <c r="D23" s="361" t="s">
        <v>3577</v>
      </c>
      <c r="E23" s="385"/>
      <c r="I23" s="391" t="str">
        <f>IF('KEY INPUTS'!C42="State Fiscal Year","Fiscal Year "&amp;'KEY INPUTS'!D33+1&amp;"",'KEY INPUTS'!D34+1)&amp;" Interest on Notes"</f>
        <v>2025 Interest on Notes</v>
      </c>
      <c r="J23" s="357"/>
      <c r="K23" s="357"/>
      <c r="L23" s="390" t="s">
        <v>373</v>
      </c>
      <c r="M23" s="843">
        <f>K18</f>
        <v>7700</v>
      </c>
      <c r="P23"/>
      <c r="Q23"/>
      <c r="R23"/>
      <c r="S23"/>
      <c r="T23"/>
      <c r="U23"/>
      <c r="V23"/>
    </row>
    <row r="24" spans="1:22" ht="15.6" customHeight="1">
      <c r="B24" s="361"/>
      <c r="C24" s="361"/>
      <c r="D24" s="386" t="s">
        <v>42</v>
      </c>
      <c r="E24" s="385"/>
      <c r="I24" s="376" t="str">
        <f>"Less: Interest Accrued to "&amp;IF('KEY INPUTS'!C42="State Fiscal Year",(TEXT('KEY INPUTS'!F29,"mm/dd/yyy")),(TEXT('KEY INPUTS'!D29,"mm/dd/yyy")))&amp;" (Trial Balance)"</f>
        <v>Less: Interest Accrued to 12/31/2024 (Trial Balance)</v>
      </c>
      <c r="J24" s="248"/>
      <c r="K24" s="248"/>
      <c r="L24" s="389" t="s">
        <v>373</v>
      </c>
      <c r="M24" s="517">
        <v>4010.97</v>
      </c>
      <c r="P24"/>
      <c r="Q24"/>
      <c r="R24"/>
      <c r="S24"/>
      <c r="T24"/>
      <c r="U24"/>
      <c r="V24"/>
    </row>
    <row r="25" spans="1:22" ht="15.6" customHeight="1">
      <c r="B25" s="361"/>
      <c r="C25" s="361"/>
      <c r="D25" s="361" t="s">
        <v>43</v>
      </c>
      <c r="E25" s="385"/>
      <c r="I25" s="376"/>
      <c r="J25" s="248" t="s">
        <v>317</v>
      </c>
      <c r="K25" s="248"/>
      <c r="L25" s="389" t="s">
        <v>373</v>
      </c>
      <c r="M25" s="844">
        <f>+M23-M24</f>
        <v>3689.03</v>
      </c>
    </row>
    <row r="26" spans="1:22" ht="15.6" customHeight="1">
      <c r="B26" s="361"/>
      <c r="C26" s="361"/>
      <c r="D26" s="361" t="str">
        <f>'50-Utility1'!D26</f>
        <v>All notes with an original date of issue of 2022 or prior require one legally payable installment to be budgeted if</v>
      </c>
      <c r="E26" s="385"/>
      <c r="I26" s="376" t="str">
        <f>"Add: Interest to be Accrued as of "&amp;IF('KEY INPUTS'!C42="State Fiscal Year",(TEXT('KEY INPUTS'!F30,"mm/dd/yyy")),(TEXT('KEY INPUTS'!D30,"mm/dd/yyy")))&amp;""</f>
        <v>Add: Interest to be Accrued as of 12/31/2025</v>
      </c>
      <c r="J26" s="248"/>
      <c r="K26" s="248"/>
      <c r="L26" s="389" t="s">
        <v>373</v>
      </c>
      <c r="M26" s="517">
        <v>6716.11</v>
      </c>
    </row>
    <row r="27" spans="1:22" ht="15.6" customHeight="1" thickBot="1">
      <c r="B27" s="361"/>
      <c r="C27" s="361"/>
      <c r="D27" s="361" t="str">
        <f>'50-Utility1'!D27</f>
        <v>it is contemplated that such notes will be renewed in 2025 or written intent of permanent financing submitted.</v>
      </c>
      <c r="E27" s="385"/>
      <c r="I27" s="315" t="str">
        <f>"Required Appropriation "&amp;IF('KEY INPUTS'!C42="State Fiscal Year","Fiscal Year "&amp;'KEY INPUTS'!D33+1&amp;"",'KEY INPUTS'!D34+1)&amp;""</f>
        <v>Required Appropriation 2025</v>
      </c>
      <c r="J27" s="318"/>
      <c r="K27" s="318"/>
      <c r="L27" s="388" t="s">
        <v>373</v>
      </c>
      <c r="M27" s="845">
        <f>+M25+M26</f>
        <v>10405.14</v>
      </c>
    </row>
    <row r="28" spans="1:22" ht="13.8" thickTop="1">
      <c r="B28" s="361"/>
      <c r="C28" s="361"/>
      <c r="D28" s="361" t="s">
        <v>44</v>
      </c>
      <c r="E28" s="385"/>
    </row>
    <row r="29" spans="1:22">
      <c r="B29" s="385"/>
      <c r="C29" s="385"/>
      <c r="D29" s="386" t="s">
        <v>45</v>
      </c>
      <c r="E29" s="385"/>
    </row>
    <row r="30" spans="1:22">
      <c r="J30" s="385" t="s">
        <v>98</v>
      </c>
    </row>
  </sheetData>
  <mergeCells count="6">
    <mergeCell ref="I22:M22"/>
    <mergeCell ref="B2:M2"/>
    <mergeCell ref="B3:M3"/>
    <mergeCell ref="A15:A17"/>
    <mergeCell ref="C6:D6"/>
    <mergeCell ref="J5:K6"/>
  </mergeCells>
  <pageMargins left="0.25" right="0.25" top="0.5" bottom="0.5" header="0.25" footer="0.25"/>
  <pageSetup paperSize="5"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6E844-0BDC-4776-AF8A-921E25D0CC77}">
  <sheetPr codeName="Sheet169">
    <tabColor theme="6" tint="0.39997558519241921"/>
  </sheetPr>
  <dimension ref="A2:T29"/>
  <sheetViews>
    <sheetView zoomScaleNormal="100" zoomScaleSheetLayoutView="80" workbookViewId="0">
      <selection activeCell="C27" sqref="C27"/>
    </sheetView>
  </sheetViews>
  <sheetFormatPr defaultColWidth="9.109375" defaultRowHeight="13.2"/>
  <cols>
    <col min="1" max="1" width="5.6640625" style="267" customWidth="1"/>
    <col min="2" max="3" width="4.88671875" style="267" customWidth="1"/>
    <col min="4" max="4" width="31.5546875" style="267" customWidth="1"/>
    <col min="5" max="12" width="15.6640625" style="267" customWidth="1"/>
    <col min="13" max="16384" width="9.109375" style="267"/>
  </cols>
  <sheetData>
    <row r="2" spans="1:20" ht="20.399999999999999">
      <c r="B2" s="1363" t="str">
        <f>"DEBT  SERVICE  SCHEDULE  FOR  "&amp;UPPER('KEY INPUTS'!D54) &amp;"  UTILITY  ASSESSMENT  NOTES"</f>
        <v>DEBT  SERVICE  SCHEDULE  FOR  WATER  UTILITY  ASSESSMENT  NOTES</v>
      </c>
      <c r="C2" s="1363"/>
      <c r="D2" s="1363"/>
      <c r="E2" s="1363"/>
      <c r="F2" s="1363"/>
      <c r="G2" s="1363"/>
      <c r="H2" s="1363"/>
      <c r="I2" s="1363"/>
      <c r="J2" s="1363"/>
      <c r="K2" s="1363"/>
      <c r="L2" s="1363"/>
    </row>
    <row r="3" spans="1:20" ht="21" thickBot="1">
      <c r="B3" s="1363"/>
      <c r="C3" s="1363"/>
      <c r="D3" s="1363"/>
      <c r="E3" s="1363"/>
      <c r="F3" s="1363"/>
      <c r="G3" s="1363"/>
      <c r="H3" s="1363"/>
      <c r="I3" s="1363"/>
      <c r="J3" s="1363"/>
      <c r="K3" s="1363"/>
      <c r="L3" s="1363"/>
    </row>
    <row r="4" spans="1:20" ht="13.5" customHeight="1" thickTop="1">
      <c r="B4" s="1433"/>
      <c r="C4" s="1433"/>
      <c r="D4" s="1434"/>
      <c r="E4" s="324"/>
      <c r="F4" s="324"/>
      <c r="G4" s="324"/>
      <c r="H4" s="324"/>
      <c r="I4" s="324"/>
      <c r="J4" s="323"/>
      <c r="K4" s="323"/>
      <c r="L4" s="322"/>
    </row>
    <row r="5" spans="1:20" ht="13.5" customHeight="1">
      <c r="E5" s="320" t="s">
        <v>139</v>
      </c>
      <c r="F5" s="319" t="s">
        <v>139</v>
      </c>
      <c r="G5" s="319" t="s">
        <v>414</v>
      </c>
      <c r="H5" s="319" t="s">
        <v>17</v>
      </c>
      <c r="I5" s="319" t="s">
        <v>542</v>
      </c>
      <c r="J5" s="1423" t="str">
        <f>IF('KEY INPUTS'!C42="State Fiscal Year","Fiscal Year "&amp;'KEY INPUTS'!D33+1&amp;"",'KEY INPUTS'!D34+1)&amp;""</f>
        <v>2025</v>
      </c>
      <c r="K5" s="1424"/>
      <c r="L5" s="321" t="s">
        <v>543</v>
      </c>
    </row>
    <row r="6" spans="1:20" ht="13.5" customHeight="1">
      <c r="C6" s="1352" t="s">
        <v>138</v>
      </c>
      <c r="D6" s="1427"/>
      <c r="E6" s="320" t="s">
        <v>414</v>
      </c>
      <c r="F6" s="319" t="s">
        <v>140</v>
      </c>
      <c r="G6" s="319" t="s">
        <v>539</v>
      </c>
      <c r="H6" s="319" t="s">
        <v>540</v>
      </c>
      <c r="I6" s="319" t="s">
        <v>540</v>
      </c>
      <c r="J6" s="1425"/>
      <c r="K6" s="1426"/>
      <c r="L6" s="321" t="s">
        <v>546</v>
      </c>
    </row>
    <row r="7" spans="1:20" ht="13.5" customHeight="1">
      <c r="E7" s="320" t="s">
        <v>92</v>
      </c>
      <c r="F7" s="320" t="s">
        <v>141</v>
      </c>
      <c r="G7" s="320" t="s">
        <v>198</v>
      </c>
      <c r="H7" s="320" t="s">
        <v>541</v>
      </c>
      <c r="I7" s="320" t="s">
        <v>543</v>
      </c>
      <c r="J7" s="320" t="s">
        <v>113</v>
      </c>
      <c r="K7" s="320" t="s">
        <v>544</v>
      </c>
      <c r="L7" s="321" t="s">
        <v>547</v>
      </c>
      <c r="N7"/>
      <c r="O7"/>
      <c r="P7"/>
      <c r="Q7"/>
      <c r="R7"/>
      <c r="S7"/>
      <c r="T7"/>
    </row>
    <row r="8" spans="1:20" ht="13.5" customHeight="1" thickBot="1">
      <c r="B8" s="318"/>
      <c r="C8" s="318"/>
      <c r="D8" s="318"/>
      <c r="E8" s="316"/>
      <c r="F8" s="316"/>
      <c r="G8" s="605" t="str">
        <f>'50-Utility1'!G8</f>
        <v>Dec. 31, 2024</v>
      </c>
      <c r="H8" s="316"/>
      <c r="I8" s="316"/>
      <c r="J8" s="317"/>
      <c r="K8" s="402" t="s">
        <v>545</v>
      </c>
      <c r="L8" s="314"/>
      <c r="N8"/>
      <c r="O8"/>
      <c r="P8"/>
      <c r="Q8"/>
      <c r="R8"/>
      <c r="S8"/>
      <c r="T8"/>
    </row>
    <row r="9" spans="1:20" ht="21" customHeight="1" thickTop="1">
      <c r="B9" s="1435"/>
      <c r="C9" s="1435"/>
      <c r="D9" s="1436"/>
      <c r="E9" s="466"/>
      <c r="F9" s="539"/>
      <c r="G9" s="466"/>
      <c r="H9" s="466"/>
      <c r="I9" s="468"/>
      <c r="J9" s="466"/>
      <c r="K9" s="466"/>
      <c r="L9" s="540"/>
      <c r="N9" s="294"/>
      <c r="O9"/>
      <c r="P9"/>
      <c r="Q9"/>
      <c r="R9"/>
      <c r="S9"/>
      <c r="T9"/>
    </row>
    <row r="10" spans="1:20" ht="21" customHeight="1">
      <c r="B10" s="1431"/>
      <c r="C10" s="1431"/>
      <c r="D10" s="1432"/>
      <c r="E10" s="450"/>
      <c r="F10" s="529"/>
      <c r="G10" s="450"/>
      <c r="H10" s="450"/>
      <c r="I10" s="471"/>
      <c r="J10" s="450"/>
      <c r="K10" s="450"/>
      <c r="L10" s="541"/>
      <c r="N10"/>
      <c r="O10"/>
      <c r="P10"/>
      <c r="Q10"/>
      <c r="R10"/>
      <c r="S10"/>
      <c r="T10"/>
    </row>
    <row r="11" spans="1:20" ht="21" customHeight="1">
      <c r="B11" s="1431"/>
      <c r="C11" s="1431"/>
      <c r="D11" s="1432"/>
      <c r="E11" s="450"/>
      <c r="F11" s="529"/>
      <c r="G11" s="450"/>
      <c r="H11" s="450"/>
      <c r="I11" s="471"/>
      <c r="J11" s="450"/>
      <c r="K11" s="450"/>
      <c r="L11" s="541"/>
      <c r="N11"/>
      <c r="O11"/>
      <c r="P11"/>
      <c r="Q11"/>
      <c r="R11"/>
      <c r="S11"/>
      <c r="T11"/>
    </row>
    <row r="12" spans="1:20" ht="21" customHeight="1">
      <c r="B12" s="1431"/>
      <c r="C12" s="1431"/>
      <c r="D12" s="1432"/>
      <c r="E12" s="450"/>
      <c r="F12" s="529"/>
      <c r="G12" s="450"/>
      <c r="H12" s="450"/>
      <c r="I12" s="471"/>
      <c r="J12" s="450"/>
      <c r="K12" s="450"/>
      <c r="L12" s="541"/>
      <c r="N12"/>
      <c r="O12"/>
      <c r="P12"/>
      <c r="Q12"/>
      <c r="R12"/>
      <c r="S12"/>
      <c r="T12"/>
    </row>
    <row r="13" spans="1:20" ht="21" customHeight="1">
      <c r="B13" s="1431"/>
      <c r="C13" s="1431"/>
      <c r="D13" s="1432"/>
      <c r="E13" s="450"/>
      <c r="F13" s="529"/>
      <c r="G13" s="450"/>
      <c r="H13" s="450"/>
      <c r="I13" s="471"/>
      <c r="J13" s="450"/>
      <c r="K13" s="450"/>
      <c r="L13" s="541"/>
      <c r="N13"/>
      <c r="O13"/>
      <c r="P13"/>
      <c r="Q13"/>
      <c r="R13"/>
      <c r="S13"/>
      <c r="T13"/>
    </row>
    <row r="14" spans="1:20" ht="21" customHeight="1">
      <c r="B14" s="1431"/>
      <c r="C14" s="1431"/>
      <c r="D14" s="1432"/>
      <c r="E14" s="453"/>
      <c r="F14" s="530"/>
      <c r="G14" s="453"/>
      <c r="H14" s="453"/>
      <c r="I14" s="474"/>
      <c r="J14" s="450"/>
      <c r="K14" s="450"/>
      <c r="L14" s="541"/>
      <c r="N14"/>
      <c r="O14"/>
      <c r="P14"/>
      <c r="Q14"/>
      <c r="R14"/>
      <c r="S14"/>
      <c r="T14"/>
    </row>
    <row r="15" spans="1:20" ht="21" customHeight="1">
      <c r="A15" s="1367" t="s">
        <v>3168</v>
      </c>
      <c r="B15" s="1431"/>
      <c r="C15" s="1431"/>
      <c r="D15" s="1432"/>
      <c r="E15" s="450"/>
      <c r="F15" s="529"/>
      <c r="G15" s="450"/>
      <c r="H15" s="450"/>
      <c r="I15" s="471"/>
      <c r="J15" s="450"/>
      <c r="K15" s="450"/>
      <c r="L15" s="541"/>
      <c r="N15"/>
      <c r="O15"/>
      <c r="P15"/>
      <c r="Q15"/>
      <c r="R15"/>
      <c r="S15"/>
      <c r="T15"/>
    </row>
    <row r="16" spans="1:20" ht="21" customHeight="1">
      <c r="A16" s="1367"/>
      <c r="B16" s="1431"/>
      <c r="C16" s="1431"/>
      <c r="D16" s="1432"/>
      <c r="E16" s="450"/>
      <c r="F16" s="529"/>
      <c r="G16" s="450"/>
      <c r="H16" s="450"/>
      <c r="I16" s="471"/>
      <c r="J16" s="450"/>
      <c r="K16" s="450"/>
      <c r="L16" s="541"/>
      <c r="N16"/>
      <c r="O16"/>
      <c r="P16"/>
      <c r="Q16"/>
      <c r="R16"/>
      <c r="S16"/>
      <c r="T16"/>
    </row>
    <row r="17" spans="1:20" ht="21" customHeight="1">
      <c r="A17" s="1367"/>
      <c r="B17" s="1431"/>
      <c r="C17" s="1431"/>
      <c r="D17" s="1432"/>
      <c r="E17" s="450"/>
      <c r="F17" s="529"/>
      <c r="G17" s="450"/>
      <c r="H17" s="450"/>
      <c r="I17" s="471"/>
      <c r="J17" s="450"/>
      <c r="K17" s="450"/>
      <c r="L17" s="541"/>
      <c r="N17"/>
      <c r="O17"/>
      <c r="P17"/>
      <c r="Q17"/>
      <c r="R17"/>
      <c r="S17"/>
      <c r="T17"/>
    </row>
    <row r="18" spans="1:20" ht="21" customHeight="1">
      <c r="A18" s="397"/>
      <c r="B18" s="1431"/>
      <c r="C18" s="1431"/>
      <c r="D18" s="1432"/>
      <c r="E18" s="450"/>
      <c r="F18" s="529"/>
      <c r="G18" s="450"/>
      <c r="H18" s="450"/>
      <c r="I18" s="471"/>
      <c r="J18" s="450"/>
      <c r="K18" s="450"/>
      <c r="L18" s="541"/>
      <c r="N18"/>
      <c r="O18"/>
      <c r="P18"/>
      <c r="Q18"/>
      <c r="R18"/>
      <c r="S18"/>
      <c r="T18"/>
    </row>
    <row r="19" spans="1:20" ht="21" customHeight="1">
      <c r="B19" s="1431"/>
      <c r="C19" s="1431"/>
      <c r="D19" s="1432"/>
      <c r="E19" s="450"/>
      <c r="F19" s="529"/>
      <c r="G19" s="450"/>
      <c r="H19" s="450"/>
      <c r="I19" s="471"/>
      <c r="J19" s="450"/>
      <c r="K19" s="450"/>
      <c r="L19" s="541"/>
      <c r="N19"/>
      <c r="O19"/>
      <c r="P19"/>
      <c r="Q19"/>
      <c r="R19"/>
      <c r="S19"/>
      <c r="T19"/>
    </row>
    <row r="20" spans="1:20" ht="21" customHeight="1">
      <c r="B20" s="1431"/>
      <c r="C20" s="1431"/>
      <c r="D20" s="1432"/>
      <c r="E20" s="450"/>
      <c r="F20" s="529"/>
      <c r="G20" s="450"/>
      <c r="H20" s="450"/>
      <c r="I20" s="471"/>
      <c r="J20" s="450"/>
      <c r="K20" s="450"/>
      <c r="L20" s="541"/>
      <c r="N20"/>
      <c r="O20"/>
      <c r="P20"/>
      <c r="Q20"/>
      <c r="R20"/>
      <c r="S20"/>
      <c r="T20"/>
    </row>
    <row r="21" spans="1:20" ht="21" customHeight="1">
      <c r="B21" s="1431"/>
      <c r="C21" s="1431"/>
      <c r="D21" s="1432"/>
      <c r="E21" s="450"/>
      <c r="F21" s="529"/>
      <c r="G21" s="450"/>
      <c r="H21" s="450"/>
      <c r="I21" s="471"/>
      <c r="J21" s="450"/>
      <c r="K21" s="450"/>
      <c r="L21" s="541"/>
      <c r="N21"/>
      <c r="O21"/>
      <c r="P21"/>
      <c r="Q21"/>
      <c r="R21"/>
      <c r="S21"/>
      <c r="T21"/>
    </row>
    <row r="22" spans="1:20" ht="21" customHeight="1">
      <c r="B22" s="1431"/>
      <c r="C22" s="1431"/>
      <c r="D22" s="1432"/>
      <c r="E22" s="450"/>
      <c r="F22" s="529"/>
      <c r="G22" s="450"/>
      <c r="H22" s="450"/>
      <c r="I22" s="471"/>
      <c r="J22" s="450"/>
      <c r="K22" s="450"/>
      <c r="L22" s="541"/>
      <c r="N22"/>
      <c r="O22"/>
      <c r="P22"/>
      <c r="Q22"/>
      <c r="R22"/>
      <c r="S22"/>
      <c r="T22"/>
    </row>
    <row r="23" spans="1:20" ht="21" customHeight="1" thickBot="1">
      <c r="B23" s="401"/>
      <c r="C23" s="311"/>
      <c r="D23" s="380"/>
      <c r="E23" s="785">
        <f>SUM(E9:E22)</f>
        <v>0</v>
      </c>
      <c r="F23" s="316"/>
      <c r="G23" s="785">
        <f>SUM(G9:G22)</f>
        <v>0</v>
      </c>
      <c r="H23" s="785"/>
      <c r="I23" s="785"/>
      <c r="J23" s="785">
        <f>SUM(J9:J22)</f>
        <v>0</v>
      </c>
      <c r="K23" s="785">
        <f>SUM(K9:K22)</f>
        <v>0</v>
      </c>
      <c r="L23" s="314"/>
      <c r="N23"/>
      <c r="O23"/>
      <c r="P23"/>
      <c r="Q23"/>
      <c r="R23"/>
      <c r="S23"/>
      <c r="T23"/>
    </row>
    <row r="24" spans="1:20" ht="13.5" customHeight="1" thickTop="1">
      <c r="B24" s="856" t="s">
        <v>40</v>
      </c>
      <c r="C24" s="392"/>
      <c r="D24" s="857"/>
      <c r="J24" s="347"/>
      <c r="K24" s="347"/>
    </row>
    <row r="25" spans="1:20" ht="13.5" customHeight="1">
      <c r="B25" s="856" t="s">
        <v>549</v>
      </c>
      <c r="C25" s="392"/>
      <c r="D25" s="857"/>
    </row>
    <row r="26" spans="1:20" ht="13.5" customHeight="1">
      <c r="B26" s="856"/>
      <c r="C26" s="392" t="str">
        <f>"Utility Assessment Notes with an original date of issue of "&amp;IF('KEY INPUTS'!C42="State Fiscal Year","June 30, "&amp;'KEY INPUTS'!D33-2&amp;"","December 31, "&amp;'KEY INPUTS'!D34-2&amp;"")&amp;" or prior must be appropriated in full in the "&amp;IF('KEY INPUTS'!C42="State Fiscal Year","FY "&amp;'KEY INPUTS'!D33+1&amp;"",'KEY INPUTS'!D33+1)&amp;" Dedicated Utility Assessment Budget or written intent of"</f>
        <v>Utility Assessment Notes with an original date of issue of December 31, 2022 or prior must be appropriated in full in the 2026 Dedicated Utility Assessment Budget or written intent of</v>
      </c>
      <c r="D26" s="857"/>
    </row>
    <row r="27" spans="1:20" ht="13.5" customHeight="1">
      <c r="B27" s="856"/>
      <c r="C27" s="392"/>
      <c r="D27" s="858" t="s">
        <v>502</v>
      </c>
    </row>
    <row r="28" spans="1:20" ht="13.5" customHeight="1">
      <c r="B28" s="856"/>
      <c r="C28" s="392" t="s">
        <v>302</v>
      </c>
      <c r="D28" s="857"/>
      <c r="J28" s="385"/>
    </row>
    <row r="29" spans="1:20">
      <c r="B29" s="400"/>
      <c r="C29" s="309"/>
      <c r="D29" s="309"/>
    </row>
  </sheetData>
  <sheetProtection algorithmName="SHA-512" hashValue="lswUmqgNTPagEsH9jj8pMasRRcM5NewUmfW4ihCDRdcXO/82+jKXI8Liuv+RdlnGha22Cs73HPgwC9l8qC+aWA==" saltValue="A8C2hukGXYkjOlMJ119jdQ==" spinCount="100000" sheet="1" objects="1" scenarios="1"/>
  <mergeCells count="20">
    <mergeCell ref="B2:L2"/>
    <mergeCell ref="B3:L3"/>
    <mergeCell ref="A15:A17"/>
    <mergeCell ref="C6:D6"/>
    <mergeCell ref="J5:K6"/>
    <mergeCell ref="B4:D4"/>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s>
  <pageMargins left="0.25" right="0.25" top="0.5" bottom="0.5" header="0.25" footer="0.25"/>
  <pageSetup paperSize="5" orientation="landscape"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44B6A-A834-44A0-B4D9-E12B84CA0D4D}">
  <sheetPr codeName="Sheet170">
    <tabColor theme="6" tint="0.39997558519241921"/>
  </sheetPr>
  <dimension ref="A2:R27"/>
  <sheetViews>
    <sheetView zoomScaleNormal="100" zoomScaleSheetLayoutView="80" workbookViewId="0">
      <selection activeCell="H7" sqref="H7"/>
    </sheetView>
  </sheetViews>
  <sheetFormatPr defaultColWidth="9.109375" defaultRowHeight="13.2"/>
  <cols>
    <col min="1" max="1" width="5.6640625" style="267" customWidth="1"/>
    <col min="2" max="3" width="4.88671875" style="267" customWidth="1"/>
    <col min="4" max="4" width="35.88671875" style="267" customWidth="1"/>
    <col min="5" max="6" width="15.6640625" style="267" customWidth="1"/>
    <col min="7" max="9" width="30.6640625" style="267" customWidth="1"/>
    <col min="10" max="16384" width="9.109375" style="267"/>
  </cols>
  <sheetData>
    <row r="2" spans="1:18" ht="20.399999999999999">
      <c r="B2" s="1363" t="str">
        <f>"SCHEDULE  OF  CAPITAL  LEASE  PROGRAM  OBLIGATIONS  "&amp;UPPER('KEY INPUTS'!D54)&amp;"  UTILITY"</f>
        <v>SCHEDULE  OF  CAPITAL  LEASE  PROGRAM  OBLIGATIONS  WATER  UTILITY</v>
      </c>
      <c r="C2" s="1363"/>
      <c r="D2" s="1363"/>
      <c r="E2" s="1363"/>
      <c r="F2" s="1363"/>
      <c r="G2" s="1363"/>
      <c r="H2" s="1363"/>
      <c r="I2" s="1363"/>
    </row>
    <row r="3" spans="1:18" ht="21" thickBot="1">
      <c r="B3" s="1363"/>
      <c r="C3" s="1363"/>
      <c r="D3" s="1363"/>
      <c r="E3" s="1363"/>
      <c r="F3" s="1363"/>
      <c r="G3" s="1363"/>
      <c r="H3" s="1363"/>
      <c r="I3" s="1363"/>
    </row>
    <row r="4" spans="1:18" ht="13.5" customHeight="1" thickTop="1">
      <c r="B4" s="1433"/>
      <c r="C4" s="1433"/>
      <c r="D4" s="1433"/>
      <c r="E4" s="1433"/>
      <c r="F4" s="1434"/>
      <c r="G4" s="859"/>
      <c r="H4" s="323"/>
      <c r="I4" s="847"/>
    </row>
    <row r="5" spans="1:18" ht="13.5" customHeight="1">
      <c r="E5" s="302"/>
      <c r="F5" s="302"/>
      <c r="G5" s="319" t="s">
        <v>414</v>
      </c>
      <c r="H5" s="1423" t="str">
        <f>IF('KEY INPUTS'!C42="State Fiscal Year","Fiscal Year "&amp;'KEY INPUTS'!D33+1&amp;"",'KEY INPUTS'!D34+1)&amp;" Budget Requirements"</f>
        <v>2025 Budget Requirements</v>
      </c>
      <c r="I5" s="1437"/>
      <c r="J5" s="592"/>
    </row>
    <row r="6" spans="1:18" ht="13.5" customHeight="1">
      <c r="C6" s="1352" t="s">
        <v>413</v>
      </c>
      <c r="D6" s="1352"/>
      <c r="E6" s="302"/>
      <c r="F6" s="302"/>
      <c r="G6" s="319" t="s">
        <v>430</v>
      </c>
      <c r="H6" s="1438"/>
      <c r="I6" s="1439"/>
      <c r="J6" s="592"/>
    </row>
    <row r="7" spans="1:18" ht="13.5" customHeight="1">
      <c r="E7" s="302"/>
      <c r="F7" s="860"/>
      <c r="G7" s="861" t="str">
        <f>'51-Utility1'!G8</f>
        <v>Dec. 31, 2024</v>
      </c>
      <c r="H7" s="320" t="s">
        <v>3170</v>
      </c>
      <c r="I7" s="321" t="s">
        <v>431</v>
      </c>
      <c r="L7"/>
      <c r="M7"/>
      <c r="N7"/>
      <c r="O7"/>
      <c r="P7"/>
      <c r="Q7"/>
      <c r="R7"/>
    </row>
    <row r="8" spans="1:18" ht="13.5" customHeight="1" thickBot="1">
      <c r="B8" s="318"/>
      <c r="C8" s="318"/>
      <c r="D8" s="318"/>
      <c r="E8" s="318"/>
      <c r="F8" s="404"/>
      <c r="G8" s="862"/>
      <c r="H8" s="317"/>
      <c r="I8" s="863"/>
      <c r="L8"/>
      <c r="M8"/>
      <c r="N8"/>
      <c r="O8"/>
      <c r="P8"/>
      <c r="Q8"/>
      <c r="R8"/>
    </row>
    <row r="9" spans="1:18" ht="21" customHeight="1" thickTop="1">
      <c r="B9" s="1440"/>
      <c r="C9" s="1440"/>
      <c r="D9" s="1440"/>
      <c r="E9" s="1440"/>
      <c r="F9" s="1441"/>
      <c r="G9" s="477"/>
      <c r="H9" s="466"/>
      <c r="I9" s="478"/>
      <c r="L9" s="294"/>
      <c r="M9"/>
      <c r="N9"/>
      <c r="O9"/>
      <c r="P9"/>
      <c r="Q9"/>
      <c r="R9"/>
    </row>
    <row r="10" spans="1:18" ht="21" customHeight="1">
      <c r="B10" s="1431"/>
      <c r="C10" s="1431"/>
      <c r="D10" s="1431"/>
      <c r="E10" s="1431"/>
      <c r="F10" s="1432"/>
      <c r="G10" s="479"/>
      <c r="H10" s="450"/>
      <c r="I10" s="451"/>
      <c r="L10"/>
      <c r="M10"/>
      <c r="N10"/>
      <c r="O10"/>
      <c r="P10"/>
      <c r="Q10"/>
      <c r="R10"/>
    </row>
    <row r="11" spans="1:18" ht="21" customHeight="1">
      <c r="B11" s="1431"/>
      <c r="C11" s="1431"/>
      <c r="D11" s="1431"/>
      <c r="E11" s="1431"/>
      <c r="F11" s="1432"/>
      <c r="G11" s="479"/>
      <c r="H11" s="450"/>
      <c r="I11" s="451"/>
      <c r="L11"/>
      <c r="M11"/>
      <c r="N11"/>
      <c r="O11"/>
      <c r="P11"/>
      <c r="Q11"/>
      <c r="R11"/>
    </row>
    <row r="12" spans="1:18" ht="21" customHeight="1">
      <c r="B12" s="1431"/>
      <c r="C12" s="1431"/>
      <c r="D12" s="1431"/>
      <c r="E12" s="1431"/>
      <c r="F12" s="1432"/>
      <c r="G12" s="479"/>
      <c r="H12" s="450"/>
      <c r="I12" s="451"/>
      <c r="L12"/>
      <c r="M12"/>
      <c r="N12"/>
      <c r="O12"/>
      <c r="P12"/>
      <c r="Q12"/>
      <c r="R12"/>
    </row>
    <row r="13" spans="1:18" ht="21" customHeight="1">
      <c r="B13" s="1431"/>
      <c r="C13" s="1431"/>
      <c r="D13" s="1431"/>
      <c r="E13" s="1431"/>
      <c r="F13" s="1432"/>
      <c r="G13" s="479"/>
      <c r="H13" s="450"/>
      <c r="I13" s="451"/>
      <c r="L13"/>
      <c r="M13"/>
      <c r="N13"/>
      <c r="O13"/>
      <c r="P13"/>
      <c r="Q13"/>
      <c r="R13"/>
    </row>
    <row r="14" spans="1:18" ht="21" customHeight="1">
      <c r="B14" s="1431"/>
      <c r="C14" s="1431"/>
      <c r="D14" s="1431"/>
      <c r="E14" s="1431"/>
      <c r="F14" s="1432"/>
      <c r="G14" s="480"/>
      <c r="H14" s="450"/>
      <c r="I14" s="451"/>
      <c r="L14"/>
      <c r="M14"/>
      <c r="N14"/>
      <c r="O14"/>
      <c r="P14"/>
      <c r="Q14"/>
      <c r="R14"/>
    </row>
    <row r="15" spans="1:18" ht="21" customHeight="1">
      <c r="A15" s="1367" t="s">
        <v>3169</v>
      </c>
      <c r="B15" s="1431"/>
      <c r="C15" s="1431"/>
      <c r="D15" s="1431"/>
      <c r="E15" s="1431"/>
      <c r="F15" s="1432"/>
      <c r="G15" s="479"/>
      <c r="H15" s="450"/>
      <c r="I15" s="451"/>
      <c r="L15"/>
      <c r="M15"/>
      <c r="N15"/>
      <c r="O15"/>
      <c r="P15"/>
      <c r="Q15"/>
      <c r="R15"/>
    </row>
    <row r="16" spans="1:18" ht="21" customHeight="1">
      <c r="A16" s="1367"/>
      <c r="B16" s="1431"/>
      <c r="C16" s="1431"/>
      <c r="D16" s="1431"/>
      <c r="E16" s="1431"/>
      <c r="F16" s="1432"/>
      <c r="G16" s="479"/>
      <c r="H16" s="450"/>
      <c r="I16" s="451"/>
      <c r="L16"/>
      <c r="M16"/>
      <c r="N16"/>
      <c r="O16"/>
      <c r="P16"/>
      <c r="Q16"/>
      <c r="R16"/>
    </row>
    <row r="17" spans="1:18" ht="21" customHeight="1">
      <c r="A17" s="1367"/>
      <c r="B17" s="1431"/>
      <c r="C17" s="1431"/>
      <c r="D17" s="1431"/>
      <c r="E17" s="1431"/>
      <c r="F17" s="1432"/>
      <c r="G17" s="479"/>
      <c r="H17" s="450"/>
      <c r="I17" s="451"/>
      <c r="L17"/>
      <c r="M17"/>
      <c r="N17"/>
      <c r="O17"/>
      <c r="P17"/>
      <c r="Q17"/>
      <c r="R17"/>
    </row>
    <row r="18" spans="1:18" ht="21" customHeight="1">
      <c r="A18" s="397"/>
      <c r="B18" s="1431"/>
      <c r="C18" s="1431"/>
      <c r="D18" s="1431"/>
      <c r="E18" s="1431"/>
      <c r="F18" s="1432"/>
      <c r="G18" s="479"/>
      <c r="H18" s="450"/>
      <c r="I18" s="451"/>
      <c r="L18"/>
      <c r="M18"/>
      <c r="N18"/>
      <c r="O18"/>
      <c r="P18"/>
      <c r="Q18"/>
      <c r="R18"/>
    </row>
    <row r="19" spans="1:18" ht="21" customHeight="1">
      <c r="B19" s="1431"/>
      <c r="C19" s="1431"/>
      <c r="D19" s="1431"/>
      <c r="E19" s="1431"/>
      <c r="F19" s="1432"/>
      <c r="G19" s="479"/>
      <c r="H19" s="450"/>
      <c r="I19" s="451"/>
      <c r="L19"/>
      <c r="M19"/>
      <c r="N19"/>
      <c r="O19"/>
      <c r="P19"/>
      <c r="Q19"/>
      <c r="R19"/>
    </row>
    <row r="20" spans="1:18" ht="21" customHeight="1">
      <c r="B20" s="1431"/>
      <c r="C20" s="1431"/>
      <c r="D20" s="1431"/>
      <c r="E20" s="1431"/>
      <c r="F20" s="1432"/>
      <c r="G20" s="479"/>
      <c r="H20" s="450"/>
      <c r="I20" s="451"/>
      <c r="L20"/>
      <c r="M20"/>
      <c r="N20"/>
      <c r="O20"/>
      <c r="P20"/>
      <c r="Q20"/>
      <c r="R20"/>
    </row>
    <row r="21" spans="1:18" ht="21" customHeight="1">
      <c r="B21" s="1431"/>
      <c r="C21" s="1431"/>
      <c r="D21" s="1431"/>
      <c r="E21" s="1431"/>
      <c r="F21" s="1432"/>
      <c r="G21" s="479"/>
      <c r="H21" s="450"/>
      <c r="I21" s="451"/>
      <c r="L21"/>
      <c r="M21"/>
      <c r="N21"/>
      <c r="O21"/>
      <c r="P21"/>
      <c r="Q21"/>
      <c r="R21"/>
    </row>
    <row r="22" spans="1:18" ht="21" customHeight="1" thickBot="1">
      <c r="B22" s="1431"/>
      <c r="C22" s="1431"/>
      <c r="D22" s="1431"/>
      <c r="E22" s="1431"/>
      <c r="F22" s="1432"/>
      <c r="G22" s="481"/>
      <c r="H22" s="475"/>
      <c r="I22" s="482"/>
      <c r="L22"/>
      <c r="M22"/>
      <c r="N22"/>
      <c r="O22"/>
      <c r="P22"/>
      <c r="Q22"/>
      <c r="R22"/>
    </row>
    <row r="23" spans="1:18" ht="21" customHeight="1" thickTop="1" thickBot="1">
      <c r="B23" s="401"/>
      <c r="C23" s="311"/>
      <c r="D23" s="405" t="s">
        <v>137</v>
      </c>
      <c r="E23" s="117"/>
      <c r="F23" s="404"/>
      <c r="G23" s="221">
        <f>SUM(G9:G22)</f>
        <v>0</v>
      </c>
      <c r="H23" s="129">
        <f>SUM(H9:H22)</f>
        <v>0</v>
      </c>
      <c r="I23" s="146">
        <f>SUM(I9:I22)</f>
        <v>0</v>
      </c>
      <c r="L23"/>
      <c r="M23"/>
      <c r="N23"/>
      <c r="O23"/>
      <c r="P23"/>
      <c r="Q23"/>
      <c r="R23"/>
    </row>
    <row r="24" spans="1:18" ht="13.5" customHeight="1" thickTop="1">
      <c r="B24" s="403"/>
      <c r="C24" s="309"/>
      <c r="D24" s="393"/>
      <c r="H24" s="347"/>
      <c r="I24" s="347"/>
    </row>
    <row r="25" spans="1:18" ht="13.5" customHeight="1">
      <c r="B25" s="403"/>
      <c r="C25" s="309"/>
      <c r="D25" s="393"/>
    </row>
    <row r="26" spans="1:18" ht="13.5" customHeight="1">
      <c r="B26" s="403"/>
      <c r="C26" s="309"/>
      <c r="D26" s="393"/>
      <c r="H26" s="385"/>
    </row>
    <row r="27" spans="1:18">
      <c r="B27" s="400"/>
      <c r="C27" s="309"/>
      <c r="D27" s="309"/>
    </row>
  </sheetData>
  <sheetProtection algorithmName="SHA-512" hashValue="MDplb5f8jGKZOFmwrpAqr+9Utot8lpZtM3l78BGVgdL7EAOaNrb85LNrKL6d1kgSSRl99206UoPd4r4TQDvx5g==" saltValue="v89czB4ihxXcLYypz64utw==" spinCount="100000" sheet="1" objects="1" scenarios="1"/>
  <mergeCells count="20">
    <mergeCell ref="B2:I2"/>
    <mergeCell ref="B3:I3"/>
    <mergeCell ref="A15:A17"/>
    <mergeCell ref="C6:D6"/>
    <mergeCell ref="H5:I6"/>
    <mergeCell ref="B4:F4"/>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s>
  <pageMargins left="0.25" right="0.25" top="0.5" bottom="0.5" header="0.25" footer="0.25"/>
  <pageSetup paperSize="5" orientation="landscape"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6787C-1609-4E16-ADFD-C1BEC0F216AF}">
  <sheetPr codeName="Sheet171">
    <tabColor theme="6" tint="0.39997558519241921"/>
    <pageSetUpPr fitToPage="1"/>
  </sheetPr>
  <dimension ref="A1:U42"/>
  <sheetViews>
    <sheetView zoomScaleNormal="100" zoomScaleSheetLayoutView="80" workbookViewId="0">
      <selection activeCell="L10" sqref="L10"/>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"&amp;UPPER('KEY INPUTS'!D54)&amp;"  (UTILITY  CAPITAL  FUND)"</f>
        <v>SCHEDULE  OF  IMPROVEMENT  AUTHORIZATIONS  WATER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42" t="str">
        <f>IF('KEY INPUTS'!C42 = "State Fiscal Year", 'KEY INPUTS'!F25,'KEY INPUTS'!D25)</f>
        <v>Balance - January 1, 2024</v>
      </c>
      <c r="F4" s="1369"/>
      <c r="G4" s="324"/>
      <c r="H4" s="324"/>
      <c r="I4" s="324"/>
      <c r="J4" s="324"/>
      <c r="K4" s="1442" t="str">
        <f>IF('KEY INPUTS'!C42 = "State Fiscal Year", 'KEY INPUTS'!F26,'KEY INPUTS'!D26)</f>
        <v>Balance - December 31, 2024</v>
      </c>
      <c r="L4" s="1447"/>
    </row>
    <row r="5" spans="2:21" ht="13.5" customHeight="1">
      <c r="B5" s="1352" t="s">
        <v>514</v>
      </c>
      <c r="C5" s="1352"/>
      <c r="D5" s="1427"/>
      <c r="E5" s="1443"/>
      <c r="F5" s="1444"/>
      <c r="G5" s="319"/>
      <c r="H5" s="319"/>
      <c r="I5" s="319"/>
      <c r="J5" s="319"/>
      <c r="K5" s="1443"/>
      <c r="L5" s="1448"/>
    </row>
    <row r="6" spans="2:21" ht="13.5" customHeight="1">
      <c r="B6" s="1352" t="s">
        <v>515</v>
      </c>
      <c r="C6" s="1352"/>
      <c r="D6" s="1427"/>
      <c r="E6" s="1445"/>
      <c r="F6" s="1446"/>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543" t="s">
        <v>3685</v>
      </c>
      <c r="C9" s="518"/>
      <c r="D9" s="520"/>
      <c r="E9" s="466"/>
      <c r="F9" s="466">
        <v>62925.75</v>
      </c>
      <c r="G9" s="466"/>
      <c r="H9" s="466"/>
      <c r="I9" s="466"/>
      <c r="J9" s="466"/>
      <c r="K9" s="466"/>
      <c r="L9" s="478">
        <v>62925.75</v>
      </c>
      <c r="O9"/>
      <c r="P9"/>
      <c r="Q9"/>
      <c r="R9"/>
      <c r="S9"/>
      <c r="T9"/>
      <c r="U9"/>
    </row>
    <row r="10" spans="2:21" ht="21" customHeight="1">
      <c r="B10" s="544" t="s">
        <v>3686</v>
      </c>
      <c r="C10" s="495"/>
      <c r="D10" s="499"/>
      <c r="E10" s="450">
        <v>18584.419999999998</v>
      </c>
      <c r="F10" s="450"/>
      <c r="G10" s="450"/>
      <c r="H10" s="450"/>
      <c r="I10" s="426">
        <v>18584.52</v>
      </c>
      <c r="J10" s="450"/>
      <c r="K10" s="451">
        <v>0</v>
      </c>
      <c r="L10" s="451"/>
      <c r="O10" s="294"/>
      <c r="P10"/>
      <c r="Q10"/>
      <c r="R10"/>
      <c r="S10"/>
      <c r="T10"/>
      <c r="U10"/>
    </row>
    <row r="11" spans="2:21" ht="21" customHeight="1">
      <c r="B11" s="545" t="s">
        <v>3687</v>
      </c>
      <c r="C11" s="495"/>
      <c r="D11" s="499"/>
      <c r="E11" s="450">
        <v>9317.93</v>
      </c>
      <c r="F11" s="450"/>
      <c r="G11" s="450"/>
      <c r="H11" s="450"/>
      <c r="I11" s="450">
        <v>9317.93</v>
      </c>
      <c r="J11" s="450"/>
      <c r="K11" s="451">
        <v>0</v>
      </c>
      <c r="L11" s="451"/>
      <c r="O11"/>
      <c r="P11"/>
      <c r="Q11"/>
      <c r="R11"/>
      <c r="S11"/>
      <c r="T11"/>
      <c r="U11"/>
    </row>
    <row r="12" spans="2:21" ht="21" customHeight="1">
      <c r="B12" s="545" t="s">
        <v>3688</v>
      </c>
      <c r="C12" s="495"/>
      <c r="D12" s="499"/>
      <c r="E12" s="450">
        <v>322017.09999999998</v>
      </c>
      <c r="F12" s="450"/>
      <c r="G12" s="450"/>
      <c r="H12" s="450"/>
      <c r="I12" s="291">
        <f>436295.35-114278.25</f>
        <v>322017.09999999998</v>
      </c>
      <c r="J12" s="450"/>
      <c r="K12" s="451">
        <v>0</v>
      </c>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3171</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3262</v>
      </c>
      <c r="E27" s="129">
        <f t="shared" ref="E27:L27" si="0">SUM(E9:E26)</f>
        <v>349919.44999999995</v>
      </c>
      <c r="F27" s="129">
        <f t="shared" si="0"/>
        <v>62925.75</v>
      </c>
      <c r="G27" s="129">
        <f t="shared" si="0"/>
        <v>0</v>
      </c>
      <c r="H27" s="129">
        <f t="shared" si="0"/>
        <v>0</v>
      </c>
      <c r="I27" s="129">
        <f t="shared" si="0"/>
        <v>349919.55</v>
      </c>
      <c r="J27" s="129">
        <f t="shared" si="0"/>
        <v>0</v>
      </c>
      <c r="K27" s="129">
        <f t="shared" si="0"/>
        <v>0</v>
      </c>
      <c r="L27" s="146">
        <f t="shared" si="0"/>
        <v>62925.75</v>
      </c>
    </row>
    <row r="28" spans="1:21" ht="13.5" customHeight="1" thickTop="1">
      <c r="B28" s="403"/>
      <c r="C28" s="309" t="s">
        <v>521</v>
      </c>
      <c r="D28" s="393"/>
      <c r="K28" s="347"/>
      <c r="L28" s="347"/>
    </row>
    <row r="42" spans="11:12">
      <c r="K42" s="267" t="s">
        <v>3211</v>
      </c>
      <c r="L42" s="301">
        <f>K27+L27</f>
        <v>62925.75</v>
      </c>
    </row>
  </sheetData>
  <sheetProtection algorithmName="SHA-512" hashValue="wMFHoRlYZHOtWjk/FXsutmblt+nO56w3eLpiI4z7SgdRNwCiojOC1JLelTKW53bGo1/WPSz5MYaQo747cVxnVg==" saltValue="EpGJZvSqm7Y+foZH74fjwQ==" spinCount="100000" sheet="1" objects="1" scenarios="1"/>
  <mergeCells count="9">
    <mergeCell ref="B2:L2"/>
    <mergeCell ref="B3:L3"/>
    <mergeCell ref="A17:A19"/>
    <mergeCell ref="B5:D5"/>
    <mergeCell ref="B6:D6"/>
    <mergeCell ref="B7:D7"/>
    <mergeCell ref="E4:F6"/>
    <mergeCell ref="K4:L6"/>
    <mergeCell ref="B4:D4"/>
  </mergeCells>
  <pageMargins left="0.25" right="0.25" top="0.5" bottom="0.5" header="0.25" footer="0.25"/>
  <pageSetup scale="79" orientation="landscape"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55D08-D5D9-44F5-AD85-F8D91D4626C3}">
  <sheetPr codeName="Sheet172">
    <tabColor theme="6" tint="0.39997558519241921"/>
  </sheetPr>
  <dimension ref="A1:U42"/>
  <sheetViews>
    <sheetView topLeftCell="A10" zoomScaleNormal="100" zoomScaleSheetLayoutView="80" workbookViewId="0">
      <selection activeCell="E10" sqref="E10:F26"/>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 &amp;UPPER('KEY INPUTS'!D54)&amp;"  (UTILITY  CAPITAL  FUND)"</f>
        <v>SCHEDULE  OF  IMPROVEMENT  AUTHORIZATIONS  WATER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42" t="str">
        <f>IF('KEY INPUTS'!C42 = "State Fiscal Year", 'KEY INPUTS'!F25,'KEY INPUTS'!D25)</f>
        <v>Balance - January 1, 2024</v>
      </c>
      <c r="F4" s="1369"/>
      <c r="G4" s="324"/>
      <c r="H4" s="324"/>
      <c r="I4" s="324"/>
      <c r="J4" s="324"/>
      <c r="K4" s="1442" t="str">
        <f>IF('KEY INPUTS'!C42 = "State Fiscal Year", 'KEY INPUTS'!F26,'KEY INPUTS'!D26)</f>
        <v>Balance - December 31, 2024</v>
      </c>
      <c r="L4" s="1447"/>
    </row>
    <row r="5" spans="2:21" ht="13.5" customHeight="1">
      <c r="B5" s="1352" t="s">
        <v>514</v>
      </c>
      <c r="C5" s="1352"/>
      <c r="D5" s="1427"/>
      <c r="E5" s="1443"/>
      <c r="F5" s="1444"/>
      <c r="G5" s="319"/>
      <c r="H5" s="319"/>
      <c r="I5" s="319"/>
      <c r="J5" s="319"/>
      <c r="K5" s="1443"/>
      <c r="L5" s="1448"/>
    </row>
    <row r="6" spans="2:21" ht="13.5" customHeight="1">
      <c r="B6" s="1352" t="s">
        <v>515</v>
      </c>
      <c r="C6" s="1352"/>
      <c r="D6" s="1427"/>
      <c r="E6" s="1445"/>
      <c r="F6" s="1446"/>
      <c r="G6" s="319" t="str">
        <f>'52-Utility1'!G6</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65" t="s">
        <v>3263</v>
      </c>
      <c r="C9" s="866"/>
      <c r="D9" s="867"/>
      <c r="E9" s="864">
        <f>+'52-Utility1'!E27</f>
        <v>349919.44999999995</v>
      </c>
      <c r="F9" s="864">
        <f>+'52-Utility1'!F27</f>
        <v>62925.75</v>
      </c>
      <c r="G9" s="864">
        <f>+'52-Utility1'!G27</f>
        <v>0</v>
      </c>
      <c r="H9" s="864">
        <f>+'52-Utility1'!H27</f>
        <v>0</v>
      </c>
      <c r="I9" s="864">
        <f>+'52-Utility1'!I27</f>
        <v>349919.55</v>
      </c>
      <c r="J9" s="864">
        <f>+'52-Utility1'!J27</f>
        <v>0</v>
      </c>
      <c r="K9" s="864">
        <f>+'52-Utility1'!K27</f>
        <v>0</v>
      </c>
      <c r="L9" s="868">
        <f>+'52-Utility1'!L27</f>
        <v>62925.75</v>
      </c>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3356</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3262</v>
      </c>
      <c r="E27" s="129">
        <f t="shared" ref="E27:L27" si="0">SUM(E9:E26)</f>
        <v>349919.44999999995</v>
      </c>
      <c r="F27" s="129">
        <f t="shared" si="0"/>
        <v>62925.75</v>
      </c>
      <c r="G27" s="129">
        <f t="shared" si="0"/>
        <v>0</v>
      </c>
      <c r="H27" s="129">
        <f t="shared" si="0"/>
        <v>0</v>
      </c>
      <c r="I27" s="129">
        <f t="shared" si="0"/>
        <v>349919.55</v>
      </c>
      <c r="J27" s="129">
        <f t="shared" si="0"/>
        <v>0</v>
      </c>
      <c r="K27" s="129">
        <f t="shared" si="0"/>
        <v>0</v>
      </c>
      <c r="L27" s="146">
        <f t="shared" si="0"/>
        <v>62925.75</v>
      </c>
    </row>
    <row r="28" spans="1:21" ht="13.5" customHeight="1" thickTop="1">
      <c r="B28" s="403"/>
      <c r="C28" s="309" t="s">
        <v>521</v>
      </c>
      <c r="D28" s="393"/>
      <c r="K28" s="347"/>
      <c r="L28" s="347"/>
    </row>
    <row r="42" spans="11:12">
      <c r="K42" s="267" t="s">
        <v>3211</v>
      </c>
      <c r="L42" s="301">
        <f>K27+L27</f>
        <v>62925.75</v>
      </c>
    </row>
  </sheetData>
  <sheetProtection algorithmName="SHA-512" hashValue="vsyZ+I8ScNf6NEChoLWM1nvrp9WGgAVyZq6p7jhHBK4Y5KnaobRV7NosVO/5hhuYqGHewEFsZdqTrZmJ2RsDBg==" saltValue="R9pycWVnRleBZA0OgGYhv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D4302-01DE-4C48-A959-C3A9597E49BC}">
  <sheetPr codeName="Sheet173">
    <tabColor theme="6" tint="0.39997558519241921"/>
  </sheetPr>
  <dimension ref="A1:U42"/>
  <sheetViews>
    <sheetView zoomScaleNormal="100" zoomScaleSheetLayoutView="80" workbookViewId="0">
      <selection activeCell="B10" sqref="B10"/>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 &amp;UPPER('KEY INPUTS'!D54)&amp;"  (UTILITY  CAPITAL  FUND)"</f>
        <v>SCHEDULE  OF  IMPROVEMENT  AUTHORIZATIONS  WATER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'52.1-Utility1'!G6</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65" t="s">
        <v>3263</v>
      </c>
      <c r="C9" s="866"/>
      <c r="D9" s="867"/>
      <c r="E9" s="864">
        <f>+'52.1-Utility1'!E27</f>
        <v>349919.44999999995</v>
      </c>
      <c r="F9" s="864">
        <f>+'52.1-Utility1'!F27</f>
        <v>62925.75</v>
      </c>
      <c r="G9" s="864">
        <f>+'52.1-Utility1'!G27</f>
        <v>0</v>
      </c>
      <c r="H9" s="864">
        <f>+'52.1-Utility1'!H27</f>
        <v>0</v>
      </c>
      <c r="I9" s="864">
        <f>+'52.1-Utility1'!I27</f>
        <v>349919.55</v>
      </c>
      <c r="J9" s="864">
        <f>+'52.1-Utility1'!J27</f>
        <v>0</v>
      </c>
      <c r="K9" s="864">
        <f>+'52.1-Utility1'!K27</f>
        <v>0</v>
      </c>
      <c r="L9" s="868">
        <f>+'52.1-Utility1'!L27</f>
        <v>62925.75</v>
      </c>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3357</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3262</v>
      </c>
      <c r="E27" s="129">
        <f t="shared" ref="E27:L27" si="0">SUM(E9:E26)</f>
        <v>349919.44999999995</v>
      </c>
      <c r="F27" s="129">
        <f t="shared" si="0"/>
        <v>62925.75</v>
      </c>
      <c r="G27" s="129">
        <f t="shared" si="0"/>
        <v>0</v>
      </c>
      <c r="H27" s="129">
        <f t="shared" si="0"/>
        <v>0</v>
      </c>
      <c r="I27" s="129">
        <f t="shared" si="0"/>
        <v>349919.55</v>
      </c>
      <c r="J27" s="129">
        <f t="shared" si="0"/>
        <v>0</v>
      </c>
      <c r="K27" s="129">
        <f t="shared" si="0"/>
        <v>0</v>
      </c>
      <c r="L27" s="146">
        <f t="shared" si="0"/>
        <v>62925.75</v>
      </c>
    </row>
    <row r="28" spans="1:21" ht="13.5" customHeight="1" thickTop="1">
      <c r="B28" s="403"/>
      <c r="C28" s="309" t="s">
        <v>521</v>
      </c>
      <c r="D28" s="393"/>
      <c r="K28" s="347"/>
      <c r="L28" s="347"/>
    </row>
    <row r="42" spans="11:12">
      <c r="K42" s="267" t="s">
        <v>3211</v>
      </c>
      <c r="L42" s="301">
        <f>K27+L27</f>
        <v>62925.75</v>
      </c>
    </row>
  </sheetData>
  <sheetProtection algorithmName="SHA-512" hashValue="xR2poQd8u4ceTC3ZZ98XFTkW8JM6fXQTibnBU/Itt/3dEabl9NOUM6WWF/61g1xLMyCbNsZsPnrGTyVEasXtOw==" saltValue="ThwEKY7042vcL3y83Ls9w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719EF-96A3-4EE2-A6C2-56D692B7849A}">
  <sheetPr codeName="Sheet174">
    <tabColor theme="6" tint="0.39997558519241921"/>
  </sheetPr>
  <dimension ref="A1:U42"/>
  <sheetViews>
    <sheetView zoomScaleNormal="100" zoomScaleSheetLayoutView="80" workbookViewId="0">
      <selection activeCell="E10" sqref="E10:F26"/>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 &amp;UPPER('KEY INPUTS'!D54)&amp;"  (UTILITY  CAPITAL  FUND)"</f>
        <v>SCHEDULE  OF  IMPROVEMENT  AUTHORIZATIONS  WATER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'52.2-Utility1'!G6</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65" t="s">
        <v>3263</v>
      </c>
      <c r="C9" s="866"/>
      <c r="D9" s="867"/>
      <c r="E9" s="864">
        <f>+'52.2-Utility1'!E27</f>
        <v>349919.44999999995</v>
      </c>
      <c r="F9" s="864">
        <f>+'52.2-Utility1'!F27</f>
        <v>62925.75</v>
      </c>
      <c r="G9" s="864">
        <f>+'52.2-Utility1'!G27</f>
        <v>0</v>
      </c>
      <c r="H9" s="864">
        <f>+'52.2-Utility1'!H27</f>
        <v>0</v>
      </c>
      <c r="I9" s="864">
        <f>+'52.2-Utility1'!I27</f>
        <v>349919.55</v>
      </c>
      <c r="J9" s="864">
        <f>+'52.2-Utility1'!J27</f>
        <v>0</v>
      </c>
      <c r="K9" s="864">
        <f>+'52.2-Utility1'!K27</f>
        <v>0</v>
      </c>
      <c r="L9" s="868">
        <f>+'52.2-Utility1'!L27</f>
        <v>62925.75</v>
      </c>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3358</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3262</v>
      </c>
      <c r="E27" s="129">
        <f t="shared" ref="E27:L27" si="0">SUM(E9:E26)</f>
        <v>349919.44999999995</v>
      </c>
      <c r="F27" s="129">
        <f t="shared" si="0"/>
        <v>62925.75</v>
      </c>
      <c r="G27" s="129">
        <f t="shared" si="0"/>
        <v>0</v>
      </c>
      <c r="H27" s="129">
        <f t="shared" si="0"/>
        <v>0</v>
      </c>
      <c r="I27" s="129">
        <f t="shared" si="0"/>
        <v>349919.55</v>
      </c>
      <c r="J27" s="129">
        <f t="shared" si="0"/>
        <v>0</v>
      </c>
      <c r="K27" s="129">
        <f t="shared" si="0"/>
        <v>0</v>
      </c>
      <c r="L27" s="146">
        <f t="shared" si="0"/>
        <v>62925.75</v>
      </c>
    </row>
    <row r="28" spans="1:21" ht="13.5" customHeight="1" thickTop="1">
      <c r="B28" s="403"/>
      <c r="C28" s="309" t="s">
        <v>521</v>
      </c>
      <c r="D28" s="393"/>
      <c r="K28" s="347"/>
      <c r="L28" s="347"/>
    </row>
    <row r="42" spans="11:12">
      <c r="K42" s="267" t="s">
        <v>3211</v>
      </c>
      <c r="L42" s="301">
        <f>K27+L27</f>
        <v>62925.75</v>
      </c>
    </row>
  </sheetData>
  <sheetProtection algorithmName="SHA-512" hashValue="HQEoSgAXU1g0wLmVeWmPBbJkKi5RlIG/skdjbcwxrkXaKu3iqR3gFSO8fqdEF5Z7SRJABbHe9AKQioabJU6sWQ==" saltValue="3KmiEymsZ+NiXP/C2S8K6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DD50F-18F0-4C5D-AC13-4053DE772192}">
  <sheetPr codeName="Sheet175">
    <tabColor theme="6" tint="0.39997558519241921"/>
  </sheetPr>
  <dimension ref="A1:U42"/>
  <sheetViews>
    <sheetView zoomScaleNormal="100" zoomScaleSheetLayoutView="80" workbookViewId="0">
      <selection activeCell="E10" sqref="E10:F26"/>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 &amp;UPPER('KEY INPUTS'!D54)&amp;"  (UTILITY  CAPITAL  FUND)"</f>
        <v>SCHEDULE  OF  IMPROVEMENT  AUTHORIZATIONS  WATER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'52.3-Utility1'!G6</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65" t="s">
        <v>3263</v>
      </c>
      <c r="C9" s="866"/>
      <c r="D9" s="867"/>
      <c r="E9" s="864">
        <f>+'52.3-Utility1'!E27</f>
        <v>349919.44999999995</v>
      </c>
      <c r="F9" s="864">
        <f>+'52.3-Utility1'!F27</f>
        <v>62925.75</v>
      </c>
      <c r="G9" s="864">
        <f>+'52.3-Utility1'!G27</f>
        <v>0</v>
      </c>
      <c r="H9" s="864">
        <f>+'52.3-Utility1'!H27</f>
        <v>0</v>
      </c>
      <c r="I9" s="864">
        <f>+'52.3-Utility1'!I27</f>
        <v>349919.55</v>
      </c>
      <c r="J9" s="864">
        <f>+'52.3-Utility1'!J27</f>
        <v>0</v>
      </c>
      <c r="K9" s="864">
        <f>+'52.3-Utility1'!K27</f>
        <v>0</v>
      </c>
      <c r="L9" s="868">
        <f>+'52.3-Utility1'!L27</f>
        <v>62925.75</v>
      </c>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3359</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798</v>
      </c>
      <c r="E27" s="129">
        <f t="shared" ref="E27:L27" si="0">SUM(E9:E26)</f>
        <v>349919.44999999995</v>
      </c>
      <c r="F27" s="129">
        <f t="shared" si="0"/>
        <v>62925.75</v>
      </c>
      <c r="G27" s="129">
        <f t="shared" si="0"/>
        <v>0</v>
      </c>
      <c r="H27" s="129">
        <f t="shared" si="0"/>
        <v>0</v>
      </c>
      <c r="I27" s="129">
        <f t="shared" si="0"/>
        <v>349919.55</v>
      </c>
      <c r="J27" s="129">
        <f t="shared" si="0"/>
        <v>0</v>
      </c>
      <c r="K27" s="129">
        <f t="shared" si="0"/>
        <v>0</v>
      </c>
      <c r="L27" s="146">
        <f t="shared" si="0"/>
        <v>62925.75</v>
      </c>
    </row>
    <row r="28" spans="1:21" ht="13.5" customHeight="1" thickTop="1">
      <c r="B28" s="403"/>
      <c r="C28" s="309" t="s">
        <v>521</v>
      </c>
      <c r="D28" s="393"/>
      <c r="K28" s="347"/>
      <c r="L28" s="347"/>
    </row>
    <row r="42" spans="11:12">
      <c r="K42" s="267" t="s">
        <v>3211</v>
      </c>
      <c r="L42" s="301">
        <f>K27+L27</f>
        <v>62925.75</v>
      </c>
    </row>
  </sheetData>
  <sheetProtection algorithmName="SHA-512" hashValue="Wn60KoPbqicUsHSRQD9HM3hrA+1XY0l5bfJCrdOnfZ2eaU12w2AjtNi8Zz3bFd5l6N/dPYzfURqU2w6omXv6nw==" saltValue="nubT47O1HATT2jx/8fuIO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98AEC-ACA0-4E92-9708-9EE49AA8AD19}">
  <sheetPr codeName="Sheet18"/>
  <dimension ref="B3:M48"/>
  <sheetViews>
    <sheetView zoomScaleNormal="100" workbookViewId="0">
      <selection activeCell="M23" sqref="M23"/>
    </sheetView>
  </sheetViews>
  <sheetFormatPr defaultColWidth="9.109375" defaultRowHeight="13.2"/>
  <cols>
    <col min="1" max="1" width="4.6640625" customWidth="1"/>
    <col min="2" max="2" width="4.88671875" customWidth="1"/>
    <col min="3" max="4" width="4.6640625" customWidth="1"/>
    <col min="5" max="5" width="30.6640625" customWidth="1"/>
    <col min="6" max="6" width="15.6640625" customWidth="1"/>
    <col min="7" max="8" width="18.6640625" customWidth="1"/>
    <col min="13" max="13" width="10.33203125" bestFit="1" customWidth="1"/>
  </cols>
  <sheetData>
    <row r="3" spans="2:11" ht="22.8">
      <c r="B3" s="1176" t="s">
        <v>424</v>
      </c>
      <c r="C3" s="1176"/>
      <c r="D3" s="1176"/>
      <c r="E3" s="1176"/>
      <c r="F3" s="1176"/>
      <c r="G3" s="1176"/>
      <c r="H3" s="1176"/>
    </row>
    <row r="4" spans="2:11" ht="22.8">
      <c r="B4" s="1176" t="s">
        <v>3612</v>
      </c>
      <c r="C4" s="1176"/>
      <c r="D4" s="1176"/>
      <c r="E4" s="1176"/>
      <c r="F4" s="1176"/>
      <c r="G4" s="1176"/>
      <c r="H4" s="1176"/>
    </row>
    <row r="5" spans="2:11" ht="17.399999999999999">
      <c r="B5" s="1186" t="s">
        <v>620</v>
      </c>
      <c r="C5" s="1186"/>
      <c r="D5" s="1186"/>
      <c r="E5" s="1186"/>
      <c r="F5" s="1186"/>
      <c r="G5" s="1186"/>
      <c r="H5" s="1186"/>
    </row>
    <row r="6" spans="2:11" ht="15.6">
      <c r="B6" s="1182" t="str">
        <f>IF('KEY INPUTS'!C42 = "State Fiscal Year", 'KEY INPUTS'!F45,'KEY INPUTS'!D45)</f>
        <v>AS  AT  DECEMBER  31, 2024</v>
      </c>
      <c r="C6" s="1132"/>
      <c r="D6" s="1132"/>
      <c r="E6" s="1132"/>
      <c r="F6" s="1132"/>
      <c r="G6" s="1132"/>
      <c r="H6" s="1132"/>
    </row>
    <row r="7" spans="2:11" ht="13.8" thickBot="1"/>
    <row r="8" spans="2:11" ht="36" customHeight="1" thickTop="1" thickBot="1">
      <c r="B8" s="1179" t="s">
        <v>95</v>
      </c>
      <c r="C8" s="1179"/>
      <c r="D8" s="1179"/>
      <c r="E8" s="1179"/>
      <c r="F8" s="1180"/>
      <c r="G8" s="4" t="s">
        <v>96</v>
      </c>
      <c r="H8" s="3" t="s">
        <v>97</v>
      </c>
    </row>
    <row r="9" spans="2:11" ht="21" customHeight="1" thickTop="1">
      <c r="B9" s="239" t="s">
        <v>3248</v>
      </c>
      <c r="G9" s="627">
        <f>+'6.2-Trial Bal-Trust Fnds'!G44</f>
        <v>329057.32</v>
      </c>
      <c r="H9" s="628">
        <f>+'6.2-Trial Bal-Trust Fnds'!H44</f>
        <v>329057.32</v>
      </c>
      <c r="I9" s="575"/>
    </row>
    <row r="10" spans="2:11" ht="21" customHeight="1">
      <c r="B10" s="263" t="s">
        <v>3247</v>
      </c>
      <c r="C10" s="5"/>
      <c r="D10" s="5"/>
      <c r="E10" s="5"/>
      <c r="F10" s="5"/>
      <c r="G10" s="629"/>
      <c r="H10" s="509"/>
    </row>
    <row r="11" spans="2:11" ht="21" customHeight="1">
      <c r="B11" s="417"/>
      <c r="C11" s="417"/>
      <c r="D11" s="417"/>
      <c r="E11" s="417"/>
      <c r="F11" s="417"/>
      <c r="G11" s="291"/>
      <c r="H11" s="429"/>
      <c r="I11" s="575"/>
    </row>
    <row r="12" spans="2:11" ht="21" customHeight="1">
      <c r="B12" s="417"/>
      <c r="C12" s="417"/>
      <c r="D12" s="417"/>
      <c r="E12" s="417"/>
      <c r="F12" s="417"/>
      <c r="G12" s="291"/>
      <c r="H12" s="429"/>
    </row>
    <row r="13" spans="2:11" ht="21" customHeight="1">
      <c r="B13" s="417"/>
      <c r="C13" s="417"/>
      <c r="D13" s="417"/>
      <c r="E13" s="417"/>
      <c r="F13" s="417"/>
      <c r="G13" s="291"/>
      <c r="H13" s="429"/>
    </row>
    <row r="14" spans="2:11" ht="21" customHeight="1">
      <c r="B14" s="417"/>
      <c r="C14" s="417"/>
      <c r="D14" s="417"/>
      <c r="E14" s="417"/>
      <c r="F14" s="417"/>
      <c r="G14" s="291"/>
      <c r="H14" s="429"/>
      <c r="K14" s="294"/>
    </row>
    <row r="15" spans="2:11" ht="21" customHeight="1">
      <c r="B15" s="417"/>
      <c r="C15" s="417"/>
      <c r="D15" s="417"/>
      <c r="E15" s="417"/>
      <c r="F15" s="417"/>
      <c r="G15" s="291"/>
      <c r="H15" s="429"/>
    </row>
    <row r="16" spans="2:11" ht="21" customHeight="1">
      <c r="B16" s="417"/>
      <c r="C16" s="417"/>
      <c r="D16" s="417"/>
      <c r="E16" s="417"/>
      <c r="F16" s="417"/>
      <c r="G16" s="291"/>
      <c r="H16" s="429"/>
    </row>
    <row r="17" spans="2:8" ht="21" customHeight="1">
      <c r="B17" s="417"/>
      <c r="C17" s="417"/>
      <c r="D17" s="417"/>
      <c r="E17" s="417"/>
      <c r="F17" s="417"/>
      <c r="G17" s="291"/>
      <c r="H17" s="429"/>
    </row>
    <row r="18" spans="2:8" ht="21" customHeight="1">
      <c r="B18" s="417"/>
      <c r="C18" s="417"/>
      <c r="D18" s="417"/>
      <c r="E18" s="417"/>
      <c r="F18" s="417"/>
      <c r="G18" s="291"/>
      <c r="H18" s="429"/>
    </row>
    <row r="19" spans="2:8" ht="21" customHeight="1">
      <c r="B19" s="417"/>
      <c r="C19" s="417"/>
      <c r="D19" s="417"/>
      <c r="E19" s="417"/>
      <c r="F19" s="417"/>
      <c r="G19" s="291"/>
      <c r="H19" s="429"/>
    </row>
    <row r="20" spans="2:8" ht="21" customHeight="1">
      <c r="B20" s="417"/>
      <c r="C20" s="417"/>
      <c r="D20" s="417"/>
      <c r="E20" s="417"/>
      <c r="F20" s="417"/>
      <c r="G20" s="291"/>
      <c r="H20" s="429"/>
    </row>
    <row r="21" spans="2:8" ht="21" customHeight="1">
      <c r="B21" s="417"/>
      <c r="C21" s="417"/>
      <c r="D21" s="417"/>
      <c r="E21" s="417"/>
      <c r="F21" s="417"/>
      <c r="G21" s="291"/>
      <c r="H21" s="429"/>
    </row>
    <row r="22" spans="2:8" ht="21" customHeight="1">
      <c r="B22" s="417"/>
      <c r="C22" s="417"/>
      <c r="D22" s="417"/>
      <c r="E22" s="417"/>
      <c r="F22" s="417"/>
      <c r="G22" s="291"/>
      <c r="H22" s="429"/>
    </row>
    <row r="23" spans="2:8" ht="21" customHeight="1">
      <c r="B23" s="417"/>
      <c r="C23" s="417"/>
      <c r="D23" s="417"/>
      <c r="E23" s="417"/>
      <c r="F23" s="417"/>
      <c r="G23" s="291"/>
      <c r="H23" s="429"/>
    </row>
    <row r="24" spans="2:8" ht="21" customHeight="1">
      <c r="B24" s="417"/>
      <c r="C24" s="417"/>
      <c r="D24" s="417"/>
      <c r="E24" s="417"/>
      <c r="F24" s="417"/>
      <c r="G24" s="291"/>
      <c r="H24" s="429"/>
    </row>
    <row r="25" spans="2:8" ht="21" customHeight="1">
      <c r="B25" s="417"/>
      <c r="C25" s="417"/>
      <c r="D25" s="417"/>
      <c r="E25" s="417"/>
      <c r="F25" s="417"/>
      <c r="G25" s="291"/>
      <c r="H25" s="429"/>
    </row>
    <row r="26" spans="2:8" ht="21" customHeight="1">
      <c r="B26" s="417"/>
      <c r="C26" s="417"/>
      <c r="D26" s="417"/>
      <c r="E26" s="417"/>
      <c r="F26" s="417"/>
      <c r="G26" s="291"/>
      <c r="H26" s="429"/>
    </row>
    <row r="27" spans="2:8" ht="21" customHeight="1">
      <c r="B27" s="417"/>
      <c r="C27" s="417"/>
      <c r="D27" s="417"/>
      <c r="E27" s="417"/>
      <c r="F27" s="417"/>
      <c r="G27" s="291"/>
      <c r="H27" s="429"/>
    </row>
    <row r="28" spans="2:8" ht="21" customHeight="1">
      <c r="B28" s="417"/>
      <c r="C28" s="417"/>
      <c r="D28" s="417"/>
      <c r="E28" s="417"/>
      <c r="F28" s="417"/>
      <c r="G28" s="291"/>
      <c r="H28" s="429"/>
    </row>
    <row r="29" spans="2:8" ht="21" customHeight="1">
      <c r="B29" s="417"/>
      <c r="C29" s="417"/>
      <c r="D29" s="417"/>
      <c r="E29" s="417"/>
      <c r="F29" s="417"/>
      <c r="G29" s="291"/>
      <c r="H29" s="429"/>
    </row>
    <row r="30" spans="2:8" ht="21" customHeight="1">
      <c r="B30" s="417"/>
      <c r="C30" s="417"/>
      <c r="D30" s="417"/>
      <c r="E30" s="417"/>
      <c r="F30" s="417"/>
      <c r="G30" s="291"/>
      <c r="H30" s="429"/>
    </row>
    <row r="31" spans="2:8" ht="21" customHeight="1">
      <c r="B31" s="417"/>
      <c r="C31" s="417"/>
      <c r="D31" s="417"/>
      <c r="E31" s="417"/>
      <c r="F31" s="417"/>
      <c r="G31" s="291"/>
      <c r="H31" s="429"/>
    </row>
    <row r="32" spans="2:8" ht="21" customHeight="1">
      <c r="B32" s="417"/>
      <c r="C32" s="417"/>
      <c r="D32" s="417"/>
      <c r="E32" s="417"/>
      <c r="F32" s="417"/>
      <c r="G32" s="291"/>
      <c r="H32" s="429"/>
    </row>
    <row r="33" spans="2:13" ht="21" customHeight="1">
      <c r="B33" s="417"/>
      <c r="C33" s="417"/>
      <c r="D33" s="417"/>
      <c r="E33" s="417"/>
      <c r="F33" s="417"/>
      <c r="G33" s="291"/>
      <c r="H33" s="429"/>
      <c r="M33" s="204"/>
    </row>
    <row r="34" spans="2:13" ht="21" customHeight="1">
      <c r="B34" s="417"/>
      <c r="C34" s="417"/>
      <c r="D34" s="417"/>
      <c r="E34" s="417"/>
      <c r="F34" s="417"/>
      <c r="G34" s="291"/>
      <c r="H34" s="429"/>
    </row>
    <row r="35" spans="2:13" ht="21" customHeight="1">
      <c r="B35" s="417"/>
      <c r="C35" s="417"/>
      <c r="D35" s="417"/>
      <c r="E35" s="417"/>
      <c r="F35" s="417"/>
      <c r="G35" s="291"/>
      <c r="H35" s="429"/>
    </row>
    <row r="36" spans="2:13" ht="21" customHeight="1">
      <c r="B36" s="417"/>
      <c r="C36" s="417"/>
      <c r="D36" s="417"/>
      <c r="E36" s="417"/>
      <c r="F36" s="417"/>
      <c r="G36" s="291"/>
      <c r="H36" s="429"/>
    </row>
    <row r="37" spans="2:13" ht="21" customHeight="1">
      <c r="B37" s="417"/>
      <c r="C37" s="417"/>
      <c r="D37" s="417"/>
      <c r="E37" s="417"/>
      <c r="F37" s="417"/>
      <c r="G37" s="291"/>
      <c r="H37" s="429"/>
    </row>
    <row r="38" spans="2:13" ht="21" customHeight="1">
      <c r="B38" s="417"/>
      <c r="C38" s="417"/>
      <c r="D38" s="417"/>
      <c r="E38" s="417"/>
      <c r="F38" s="417"/>
      <c r="G38" s="291"/>
      <c r="H38" s="429"/>
    </row>
    <row r="39" spans="2:13" ht="21" customHeight="1">
      <c r="B39" s="417"/>
      <c r="C39" s="417"/>
      <c r="D39" s="417"/>
      <c r="E39" s="417"/>
      <c r="F39" s="417"/>
      <c r="G39" s="291"/>
      <c r="H39" s="429"/>
    </row>
    <row r="40" spans="2:13" ht="21" customHeight="1">
      <c r="B40" s="417"/>
      <c r="C40" s="417"/>
      <c r="D40" s="417"/>
      <c r="E40" s="417"/>
      <c r="F40" s="417"/>
      <c r="G40" s="291"/>
      <c r="H40" s="429"/>
    </row>
    <row r="41" spans="2:13" ht="21" customHeight="1">
      <c r="B41" s="417"/>
      <c r="C41" s="417"/>
      <c r="D41" s="417"/>
      <c r="E41" s="417"/>
      <c r="F41" s="417"/>
      <c r="G41" s="291"/>
      <c r="H41" s="429"/>
    </row>
    <row r="42" spans="2:13" ht="21" customHeight="1">
      <c r="B42" s="417"/>
      <c r="C42" s="417"/>
      <c r="D42" s="417"/>
      <c r="E42" s="417"/>
      <c r="F42" s="417"/>
      <c r="G42" s="291"/>
      <c r="H42" s="429"/>
    </row>
    <row r="43" spans="2:13" ht="21" customHeight="1">
      <c r="B43" s="417"/>
      <c r="C43" s="417"/>
      <c r="D43" s="417"/>
      <c r="E43" s="417"/>
      <c r="F43" s="417"/>
      <c r="G43" s="291"/>
      <c r="H43" s="429"/>
    </row>
    <row r="44" spans="2:13" ht="21" customHeight="1">
      <c r="B44" s="263" t="s">
        <v>798</v>
      </c>
      <c r="C44" s="5"/>
      <c r="D44" s="5"/>
      <c r="E44" s="5"/>
      <c r="F44" s="5"/>
      <c r="G44" s="629">
        <f>SUM(G9:G43)</f>
        <v>329057.32</v>
      </c>
      <c r="H44" s="636">
        <f>SUM(H9:H43)</f>
        <v>329057.32</v>
      </c>
    </row>
    <row r="45" spans="2:13">
      <c r="B45" s="1158" t="s">
        <v>98</v>
      </c>
      <c r="C45" s="1158"/>
      <c r="D45" s="1158"/>
      <c r="E45" s="1158"/>
      <c r="F45" s="1158"/>
      <c r="G45" s="1158"/>
      <c r="H45" s="1158"/>
    </row>
    <row r="46" spans="2:13">
      <c r="B46" s="1"/>
      <c r="C46" s="1"/>
      <c r="D46" s="1"/>
      <c r="E46" s="1"/>
      <c r="F46" s="1"/>
      <c r="G46" s="1"/>
      <c r="H46" s="1"/>
    </row>
    <row r="48" spans="2:13" ht="13.8">
      <c r="B48" s="1130" t="s">
        <v>3251</v>
      </c>
      <c r="C48" s="1130"/>
      <c r="D48" s="1130"/>
      <c r="E48" s="1130"/>
      <c r="F48" s="1130"/>
      <c r="G48" s="1130"/>
      <c r="H48" s="1130"/>
    </row>
  </sheetData>
  <sheetProtection algorithmName="SHA-512" hashValue="sFDvMMKdy2/IjsF5ThjWr6tHR50XXo+RDxCsfUWkMGlSB5fQSRKuQfFwrUhacIM6o5N2CuEZDt9L4L7ch72psw==" saltValue="w35H96ptnOR0yj9fLl3N1A=="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EFB3B-CEF4-4A0E-B7D9-9FD55B392BC1}">
  <sheetPr codeName="Sheet176">
    <tabColor theme="6" tint="0.39997558519241921"/>
  </sheetPr>
  <dimension ref="B3:S54"/>
  <sheetViews>
    <sheetView topLeftCell="A28" zoomScaleNormal="100" zoomScaleSheetLayoutView="80" workbookViewId="0">
      <selection activeCell="B10" sqref="B10"/>
    </sheetView>
  </sheetViews>
  <sheetFormatPr defaultColWidth="9.109375" defaultRowHeight="13.2"/>
  <cols>
    <col min="1" max="3" width="4.6640625" style="267" customWidth="1"/>
    <col min="4" max="4" width="4.5546875" style="267" customWidth="1"/>
    <col min="5" max="6" width="9.109375" style="267"/>
    <col min="7" max="7" width="14.44140625" style="267" customWidth="1"/>
    <col min="8" max="8" width="15" style="267" customWidth="1"/>
    <col min="9" max="10" width="16.6640625" style="267" customWidth="1"/>
    <col min="11" max="16384" width="9.109375" style="267"/>
  </cols>
  <sheetData>
    <row r="3" spans="2:19" ht="22.8">
      <c r="B3" s="1358" t="str">
        <f>UPPER('KEY INPUTS'!D54)&amp;" UTILITY  CAPITAL  FUND"</f>
        <v>WATER UTILITY  CAPITAL  FUND</v>
      </c>
      <c r="C3" s="1358"/>
      <c r="D3" s="1358"/>
      <c r="E3" s="1358"/>
      <c r="F3" s="1358"/>
      <c r="G3" s="1358"/>
      <c r="H3" s="1358"/>
      <c r="I3" s="1358"/>
      <c r="J3" s="1358"/>
    </row>
    <row r="4" spans="2:19">
      <c r="B4" s="513"/>
      <c r="C4" s="513"/>
      <c r="D4" s="513"/>
      <c r="E4" s="513"/>
    </row>
    <row r="5" spans="2:19" ht="15.6">
      <c r="B5" s="1360" t="s">
        <v>525</v>
      </c>
      <c r="C5" s="1360"/>
      <c r="D5" s="1360"/>
      <c r="E5" s="1360"/>
      <c r="F5" s="1360"/>
      <c r="G5" s="1360"/>
      <c r="H5" s="1360"/>
      <c r="I5" s="1360"/>
      <c r="J5" s="1360"/>
    </row>
    <row r="6" spans="2:19" ht="13.8" thickBot="1"/>
    <row r="7" spans="2:19" ht="28.5" customHeight="1" thickTop="1" thickBot="1">
      <c r="B7" s="364"/>
      <c r="C7" s="364"/>
      <c r="D7" s="364"/>
      <c r="E7" s="364"/>
      <c r="F7" s="364"/>
      <c r="G7" s="364"/>
      <c r="H7" s="364"/>
      <c r="I7" s="304" t="s">
        <v>96</v>
      </c>
      <c r="J7" s="308" t="s">
        <v>97</v>
      </c>
    </row>
    <row r="8" spans="2:19" ht="21" customHeight="1" thickTop="1">
      <c r="B8" s="313" t="str">
        <f>IF('KEY INPUTS'!C42 = "State Fiscal Year", 'KEY INPUTS'!F25,'KEY INPUTS'!D25)</f>
        <v>Balance - January 1, 2024</v>
      </c>
      <c r="C8" s="313"/>
      <c r="D8" s="313"/>
      <c r="E8" s="313"/>
      <c r="F8" s="313"/>
      <c r="G8" s="313"/>
      <c r="H8" s="409"/>
      <c r="I8" s="757" t="s">
        <v>627</v>
      </c>
      <c r="J8" s="486"/>
    </row>
    <row r="9" spans="2:19" ht="21" customHeight="1">
      <c r="B9" s="248" t="str">
        <f>"Received from "&amp;IF('KEY INPUTS'!C42="State Fiscal Year","Fiscal Year "&amp;'KEY INPUTS'!D33&amp;"",'KEY INPUTS'!D34)&amp;" Budget Appropriation"</f>
        <v>Received from 2024 Budget Appropriation</v>
      </c>
      <c r="C9" s="248"/>
      <c r="D9" s="248"/>
      <c r="E9" s="248"/>
      <c r="F9" s="248"/>
      <c r="G9" s="248"/>
      <c r="H9" s="407"/>
      <c r="I9" s="702" t="s">
        <v>627</v>
      </c>
      <c r="J9" s="457"/>
      <c r="M9"/>
      <c r="N9"/>
      <c r="O9"/>
      <c r="P9"/>
      <c r="Q9"/>
      <c r="R9"/>
      <c r="S9"/>
    </row>
    <row r="10" spans="2:19" ht="21" customHeight="1">
      <c r="B10" s="495"/>
      <c r="C10" s="495"/>
      <c r="D10" s="495"/>
      <c r="E10" s="495"/>
      <c r="F10" s="495"/>
      <c r="G10" s="495"/>
      <c r="H10" s="495"/>
      <c r="I10" s="702" t="s">
        <v>627</v>
      </c>
      <c r="J10" s="457"/>
      <c r="M10"/>
      <c r="N10"/>
      <c r="O10"/>
      <c r="P10"/>
      <c r="Q10"/>
      <c r="R10"/>
      <c r="S10"/>
    </row>
    <row r="11" spans="2:19" ht="11.25" customHeight="1">
      <c r="B11" s="412" t="s">
        <v>176</v>
      </c>
      <c r="C11" s="411"/>
      <c r="D11" s="411"/>
      <c r="E11" s="411"/>
      <c r="F11" s="411"/>
      <c r="G11" s="411"/>
      <c r="H11" s="406"/>
      <c r="I11" s="1458" t="s">
        <v>627</v>
      </c>
      <c r="J11" s="1456"/>
      <c r="M11" s="294"/>
      <c r="N11"/>
      <c r="O11"/>
      <c r="P11"/>
      <c r="Q11"/>
      <c r="R11"/>
      <c r="S11"/>
    </row>
    <row r="12" spans="2:19" ht="12.75" customHeight="1">
      <c r="B12" s="333"/>
      <c r="C12" s="408" t="s">
        <v>177</v>
      </c>
      <c r="D12" s="333"/>
      <c r="E12" s="333"/>
      <c r="F12" s="333"/>
      <c r="G12" s="333"/>
      <c r="H12" s="410"/>
      <c r="I12" s="1459"/>
      <c r="J12" s="1457"/>
      <c r="M12"/>
      <c r="N12"/>
      <c r="O12"/>
      <c r="P12"/>
      <c r="Q12"/>
      <c r="R12"/>
      <c r="S12"/>
    </row>
    <row r="13" spans="2:19" ht="21" customHeight="1">
      <c r="B13" s="514"/>
      <c r="C13" s="869"/>
      <c r="D13" s="514"/>
      <c r="E13" s="514"/>
      <c r="F13" s="514"/>
      <c r="G13" s="514"/>
      <c r="H13" s="514"/>
      <c r="I13" s="527"/>
      <c r="J13" s="293"/>
      <c r="M13"/>
      <c r="N13"/>
      <c r="O13"/>
      <c r="P13"/>
      <c r="Q13"/>
      <c r="R13"/>
      <c r="S13"/>
    </row>
    <row r="14" spans="2:19" ht="21" customHeight="1">
      <c r="B14" s="248" t="s">
        <v>178</v>
      </c>
      <c r="C14" s="248"/>
      <c r="D14" s="248"/>
      <c r="E14" s="248"/>
      <c r="F14" s="248"/>
      <c r="G14" s="248"/>
      <c r="H14" s="248"/>
      <c r="I14" s="702" t="s">
        <v>627</v>
      </c>
      <c r="J14" s="706" t="s">
        <v>627</v>
      </c>
      <c r="M14"/>
      <c r="N14"/>
      <c r="O14"/>
      <c r="P14"/>
      <c r="Q14"/>
      <c r="R14"/>
      <c r="S14"/>
    </row>
    <row r="15" spans="2:19" ht="21" customHeight="1">
      <c r="B15" s="495"/>
      <c r="C15" s="495"/>
      <c r="D15" s="495"/>
      <c r="E15" s="495"/>
      <c r="F15" s="495"/>
      <c r="G15" s="495"/>
      <c r="H15" s="495"/>
      <c r="I15" s="450"/>
      <c r="J15" s="706" t="s">
        <v>627</v>
      </c>
      <c r="M15"/>
      <c r="N15"/>
      <c r="O15"/>
      <c r="P15"/>
      <c r="Q15"/>
      <c r="R15"/>
      <c r="S15"/>
    </row>
    <row r="16" spans="2:19" ht="21" customHeight="1">
      <c r="B16" s="495"/>
      <c r="C16" s="495"/>
      <c r="D16" s="495"/>
      <c r="E16" s="495"/>
      <c r="F16" s="495"/>
      <c r="G16" s="495"/>
      <c r="H16" s="495"/>
      <c r="I16" s="450"/>
      <c r="J16" s="706" t="s">
        <v>627</v>
      </c>
      <c r="M16"/>
      <c r="N16"/>
      <c r="O16"/>
      <c r="P16"/>
      <c r="Q16"/>
      <c r="R16"/>
      <c r="S16"/>
    </row>
    <row r="17" spans="2:19" ht="21" customHeight="1">
      <c r="B17" s="495"/>
      <c r="C17" s="495"/>
      <c r="D17" s="495"/>
      <c r="E17" s="495"/>
      <c r="F17" s="495"/>
      <c r="G17" s="495"/>
      <c r="H17" s="495"/>
      <c r="I17" s="450"/>
      <c r="J17" s="706" t="s">
        <v>627</v>
      </c>
      <c r="M17"/>
      <c r="N17"/>
      <c r="O17"/>
      <c r="P17"/>
      <c r="Q17"/>
      <c r="R17"/>
      <c r="S17"/>
    </row>
    <row r="18" spans="2:19" ht="21" customHeight="1">
      <c r="B18" s="495"/>
      <c r="C18" s="495"/>
      <c r="D18" s="495"/>
      <c r="E18" s="495"/>
      <c r="F18" s="495"/>
      <c r="G18" s="495"/>
      <c r="H18" s="495"/>
      <c r="I18" s="450"/>
      <c r="J18" s="706" t="s">
        <v>627</v>
      </c>
      <c r="M18"/>
      <c r="N18"/>
      <c r="O18"/>
      <c r="P18"/>
      <c r="Q18"/>
      <c r="R18"/>
      <c r="S18"/>
    </row>
    <row r="19" spans="2:19" ht="21" customHeight="1">
      <c r="B19" s="495"/>
      <c r="C19" s="495"/>
      <c r="D19" s="495"/>
      <c r="E19" s="495"/>
      <c r="F19" s="495"/>
      <c r="G19" s="495"/>
      <c r="H19" s="495"/>
      <c r="I19" s="450"/>
      <c r="J19" s="706" t="s">
        <v>627</v>
      </c>
      <c r="M19"/>
      <c r="N19"/>
      <c r="O19"/>
      <c r="P19"/>
      <c r="Q19"/>
      <c r="R19"/>
      <c r="S19"/>
    </row>
    <row r="20" spans="2:19" ht="21" customHeight="1">
      <c r="B20" s="495"/>
      <c r="C20" s="495"/>
      <c r="D20" s="495"/>
      <c r="E20" s="495"/>
      <c r="F20" s="495"/>
      <c r="G20" s="495"/>
      <c r="H20" s="495"/>
      <c r="I20" s="450"/>
      <c r="J20" s="706" t="s">
        <v>627</v>
      </c>
      <c r="M20"/>
      <c r="N20"/>
      <c r="O20"/>
      <c r="P20"/>
      <c r="Q20"/>
      <c r="R20"/>
      <c r="S20"/>
    </row>
    <row r="21" spans="2:19" ht="21" customHeight="1">
      <c r="B21" s="495"/>
      <c r="C21" s="495"/>
      <c r="D21" s="495"/>
      <c r="E21" s="495"/>
      <c r="F21" s="495"/>
      <c r="G21" s="495"/>
      <c r="H21" s="495"/>
      <c r="I21" s="450"/>
      <c r="J21" s="706" t="s">
        <v>627</v>
      </c>
      <c r="M21"/>
      <c r="N21"/>
      <c r="O21"/>
      <c r="P21"/>
      <c r="Q21"/>
      <c r="R21"/>
      <c r="S21"/>
    </row>
    <row r="22" spans="2:19" ht="21" customHeight="1">
      <c r="B22" s="248" t="s">
        <v>179</v>
      </c>
      <c r="C22" s="248"/>
      <c r="D22" s="248"/>
      <c r="E22" s="248"/>
      <c r="F22" s="248"/>
      <c r="G22" s="248"/>
      <c r="H22" s="407"/>
      <c r="I22" s="450"/>
      <c r="J22" s="706" t="s">
        <v>627</v>
      </c>
      <c r="M22"/>
      <c r="N22"/>
      <c r="O22"/>
      <c r="P22"/>
      <c r="Q22"/>
      <c r="R22"/>
      <c r="S22"/>
    </row>
    <row r="23" spans="2:19" ht="21" customHeight="1">
      <c r="B23" s="495"/>
      <c r="C23" s="495"/>
      <c r="D23" s="495"/>
      <c r="E23" s="495"/>
      <c r="F23" s="495"/>
      <c r="G23" s="495"/>
      <c r="H23" s="495"/>
      <c r="I23" s="450"/>
      <c r="J23" s="706" t="s">
        <v>627</v>
      </c>
      <c r="M23"/>
      <c r="N23"/>
      <c r="O23"/>
      <c r="P23"/>
      <c r="Q23"/>
      <c r="R23"/>
      <c r="S23"/>
    </row>
    <row r="24" spans="2:19" ht="21" customHeight="1" thickBot="1">
      <c r="B24" s="248" t="str">
        <f>IF('KEY INPUTS'!C42 = "State Fiscal Year", 'KEY INPUTS'!F26,'KEY INPUTS'!D26)</f>
        <v>Balance - December 31, 2024</v>
      </c>
      <c r="C24" s="248"/>
      <c r="D24" s="248"/>
      <c r="E24" s="248"/>
      <c r="F24" s="248"/>
      <c r="G24" s="248"/>
      <c r="H24" s="407"/>
      <c r="I24" s="768">
        <f>+SUM(J8:J13)-SUM(I13:I23)</f>
        <v>0</v>
      </c>
      <c r="J24" s="766" t="s">
        <v>627</v>
      </c>
      <c r="M24"/>
      <c r="N24"/>
      <c r="O24"/>
      <c r="P24"/>
      <c r="Q24"/>
      <c r="R24"/>
      <c r="S24"/>
    </row>
    <row r="25" spans="2:19" ht="21" customHeight="1" thickTop="1" thickBot="1">
      <c r="I25" s="748">
        <f>SUM(I8:I24)</f>
        <v>0</v>
      </c>
      <c r="J25" s="769">
        <f>SUM(J8:J24)</f>
        <v>0</v>
      </c>
      <c r="M25"/>
      <c r="N25"/>
      <c r="O25"/>
      <c r="P25"/>
      <c r="Q25"/>
      <c r="R25"/>
      <c r="S25"/>
    </row>
    <row r="26" spans="2:19" ht="13.8" thickTop="1"/>
    <row r="30" spans="2:19" ht="22.8">
      <c r="B30" s="1358" t="str">
        <f>UPPER('KEY INPUTS'!D54)&amp;" UTILITY  CAPITAL  FUND"</f>
        <v>WATER UTILITY  CAPITAL  FUND</v>
      </c>
      <c r="C30" s="1358"/>
      <c r="D30" s="1358"/>
      <c r="E30" s="1358"/>
      <c r="F30" s="1358"/>
      <c r="G30" s="1358"/>
      <c r="H30" s="1358"/>
      <c r="I30" s="1358"/>
      <c r="J30" s="1358"/>
    </row>
    <row r="31" spans="2:19" ht="7.5" customHeight="1"/>
    <row r="32" spans="2:19" ht="15.6">
      <c r="B32" s="1360" t="s">
        <v>180</v>
      </c>
      <c r="C32" s="1360"/>
      <c r="D32" s="1360"/>
      <c r="E32" s="1360"/>
      <c r="F32" s="1360"/>
      <c r="G32" s="1360"/>
      <c r="H32" s="1360"/>
      <c r="I32" s="1360"/>
      <c r="J32" s="1360"/>
    </row>
    <row r="33" spans="2:10" ht="13.8" thickBot="1"/>
    <row r="34" spans="2:10" ht="26.25" customHeight="1" thickTop="1" thickBot="1">
      <c r="B34" s="364"/>
      <c r="C34" s="364"/>
      <c r="D34" s="364"/>
      <c r="E34" s="364"/>
      <c r="F34" s="364"/>
      <c r="G34" s="364"/>
      <c r="H34" s="364"/>
      <c r="I34" s="304" t="s">
        <v>96</v>
      </c>
      <c r="J34" s="308" t="s">
        <v>97</v>
      </c>
    </row>
    <row r="35" spans="2:10" ht="21" customHeight="1" thickTop="1">
      <c r="B35" s="313" t="str">
        <f>B8</f>
        <v>Balance - January 1, 2024</v>
      </c>
      <c r="C35" s="313"/>
      <c r="D35" s="313"/>
      <c r="E35" s="313"/>
      <c r="F35" s="313"/>
      <c r="G35" s="313"/>
      <c r="H35" s="409"/>
      <c r="I35" s="757" t="s">
        <v>627</v>
      </c>
      <c r="J35" s="486"/>
    </row>
    <row r="36" spans="2:10" ht="21" customHeight="1">
      <c r="B36" s="248" t="str">
        <f>"Received from "&amp;IF('KEY INPUTS'!C42="State Fiscal Year","Fiscal Year "&amp;'KEY INPUTS'!D33&amp;"",'KEY INPUTS'!D34)&amp;" Budget Appropriation*"</f>
        <v>Received from 2024 Budget Appropriation*</v>
      </c>
      <c r="C36" s="248"/>
      <c r="D36" s="248"/>
      <c r="E36" s="248"/>
      <c r="F36" s="248"/>
      <c r="G36" s="248"/>
      <c r="H36" s="407"/>
      <c r="I36" s="702" t="s">
        <v>627</v>
      </c>
      <c r="J36" s="457"/>
    </row>
    <row r="37" spans="2:10" ht="21" customHeight="1">
      <c r="B37" s="248" t="str">
        <f>"Received from "&amp;IF('KEY INPUTS'!C42="State Fiscal Year","Fiscal Year "&amp;'KEY INPUTS'!D33&amp;"",'KEY INPUTS'!D34)&amp;" Emergency Appropriation*"</f>
        <v>Received from 2024 Emergency Appropriation*</v>
      </c>
      <c r="C37" s="248"/>
      <c r="D37" s="248"/>
      <c r="E37" s="248"/>
      <c r="F37" s="248"/>
      <c r="G37" s="248"/>
      <c r="H37" s="407"/>
      <c r="I37" s="702" t="s">
        <v>627</v>
      </c>
      <c r="J37" s="457"/>
    </row>
    <row r="38" spans="2:10" ht="21" customHeight="1">
      <c r="B38" s="514"/>
      <c r="C38" s="869"/>
      <c r="D38" s="514"/>
      <c r="E38" s="514"/>
      <c r="F38" s="514"/>
      <c r="G38" s="514"/>
      <c r="H38" s="514"/>
      <c r="I38" s="527"/>
      <c r="J38" s="293"/>
    </row>
    <row r="39" spans="2:10" ht="21" customHeight="1">
      <c r="B39" s="248" t="s">
        <v>179</v>
      </c>
      <c r="C39" s="248"/>
      <c r="D39" s="248"/>
      <c r="E39" s="248"/>
      <c r="F39" s="248"/>
      <c r="G39" s="248"/>
      <c r="H39" s="407"/>
      <c r="I39" s="450"/>
      <c r="J39" s="706" t="s">
        <v>627</v>
      </c>
    </row>
    <row r="40" spans="2:10" ht="21" customHeight="1">
      <c r="B40" s="495"/>
      <c r="C40" s="495"/>
      <c r="D40" s="495"/>
      <c r="E40" s="495"/>
      <c r="F40" s="495"/>
      <c r="G40" s="495"/>
      <c r="H40" s="495"/>
      <c r="I40" s="450"/>
      <c r="J40" s="706" t="s">
        <v>627</v>
      </c>
    </row>
    <row r="41" spans="2:10" ht="21" customHeight="1" thickBot="1">
      <c r="B41" s="248" t="str">
        <f>B24</f>
        <v>Balance - December 31, 2024</v>
      </c>
      <c r="C41" s="248"/>
      <c r="D41" s="248"/>
      <c r="E41" s="248"/>
      <c r="F41" s="248"/>
      <c r="G41" s="248"/>
      <c r="H41" s="407"/>
      <c r="I41" s="870">
        <f>SUM(J35:J38)-SUM(I38:I40)</f>
        <v>0</v>
      </c>
      <c r="J41" s="766" t="s">
        <v>627</v>
      </c>
    </row>
    <row r="42" spans="2:10" ht="21" customHeight="1" thickTop="1" thickBot="1">
      <c r="I42" s="748">
        <f>SUM(I35:I41)</f>
        <v>0</v>
      </c>
      <c r="J42" s="769">
        <f>SUM(J35:J41)</f>
        <v>0</v>
      </c>
    </row>
    <row r="43" spans="2:10" ht="21" customHeight="1" thickTop="1">
      <c r="I43" s="116"/>
      <c r="J43" s="116"/>
    </row>
    <row r="44" spans="2:10" ht="21" customHeight="1"/>
    <row r="45" spans="2:10" ht="13.5" customHeight="1">
      <c r="B45" s="359" t="str">
        <f>"*The full amount of the "&amp;IF('KEY INPUTS'!C42="State Fiscal Year","Fiscal Year "&amp;'KEY INPUTS'!D33&amp;"",'KEY INPUTS'!D34)&amp;" budget appropriation should be transferred to this account unless the balance"</f>
        <v>*The full amount of the 2024 budget appropriation should be transferred to this account unless the balance</v>
      </c>
      <c r="C45" s="359"/>
    </row>
    <row r="46" spans="2:10" ht="13.5" customHeight="1">
      <c r="B46" s="359"/>
      <c r="C46" s="359" t="s">
        <v>3578</v>
      </c>
    </row>
    <row r="47" spans="2:10" ht="13.5" customHeight="1">
      <c r="B47" s="359"/>
      <c r="C47" s="359"/>
    </row>
    <row r="48" spans="2:10" ht="13.5" customHeight="1">
      <c r="B48" s="359"/>
      <c r="C48" s="359"/>
    </row>
    <row r="49" spans="2:10" ht="13.5" customHeight="1">
      <c r="B49" s="359"/>
      <c r="C49" s="359"/>
    </row>
    <row r="50" spans="2:10" ht="13.5" customHeight="1">
      <c r="B50" s="359"/>
      <c r="C50" s="359"/>
    </row>
    <row r="51" spans="2:10" ht="13.5" customHeight="1">
      <c r="B51" s="359"/>
      <c r="C51" s="359"/>
    </row>
    <row r="52" spans="2:10" ht="13.5" customHeight="1">
      <c r="B52" s="359"/>
      <c r="C52" s="359"/>
    </row>
    <row r="53" spans="2:10" ht="13.5" customHeight="1">
      <c r="B53" s="359"/>
      <c r="C53" s="359"/>
    </row>
    <row r="54" spans="2:10" ht="13.8">
      <c r="B54" s="1353" t="s">
        <v>3172</v>
      </c>
      <c r="C54" s="1353"/>
      <c r="D54" s="1353"/>
      <c r="E54" s="1353"/>
      <c r="F54" s="1353"/>
      <c r="G54" s="1353"/>
      <c r="H54" s="1353"/>
      <c r="I54" s="1353"/>
      <c r="J54" s="1353"/>
    </row>
  </sheetData>
  <sheetProtection algorithmName="SHA-512" hashValue="1gdsVUt0ghMg93rv78AcyuQkXzJmZflcc3BBuRUwTsFv8WM2korJkQXJebZ+aBt6ZBA13JSOF6kcJu/V5ZRu6w==" saltValue="7yKxSJOa92sKJPO5UthhMw==" spinCount="100000" sheet="1" objects="1" scenarios="1"/>
  <mergeCells count="7">
    <mergeCell ref="B3:J3"/>
    <mergeCell ref="B5:J5"/>
    <mergeCell ref="B54:J54"/>
    <mergeCell ref="B30:J30"/>
    <mergeCell ref="B32:J32"/>
    <mergeCell ref="J11:J12"/>
    <mergeCell ref="I11:I12"/>
  </mergeCells>
  <pageMargins left="0.25" right="0.25" top="0.5" bottom="0.5" header="0.25" footer="0.25"/>
  <pageSetup paperSize="5"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C2E3B-6A44-4F6C-99AA-847C40DA3415}">
  <sheetPr codeName="Sheet177">
    <tabColor theme="6" tint="0.39997558519241921"/>
  </sheetPr>
  <dimension ref="B1:AC52"/>
  <sheetViews>
    <sheetView topLeftCell="B1" zoomScaleNormal="100" zoomScaleSheetLayoutView="80" workbookViewId="0">
      <selection activeCell="J35" sqref="J35"/>
    </sheetView>
  </sheetViews>
  <sheetFormatPr defaultColWidth="8.88671875" defaultRowHeight="13.2"/>
  <cols>
    <col min="1" max="3" width="4.6640625" style="267" customWidth="1"/>
    <col min="4" max="4" width="4.5546875" style="267" customWidth="1"/>
    <col min="5" max="5" width="8.88671875" style="267"/>
    <col min="6" max="6" width="6.6640625" style="267" customWidth="1"/>
    <col min="7" max="10" width="16.6640625" style="267" customWidth="1"/>
    <col min="11" max="20" width="8.88671875" style="267"/>
    <col min="21" max="23" width="4.6640625" customWidth="1"/>
    <col min="25" max="25" width="6.6640625" customWidth="1"/>
    <col min="26" max="29" width="16.6640625" customWidth="1"/>
    <col min="30" max="16384" width="8.88671875" style="267"/>
  </cols>
  <sheetData>
    <row r="1" spans="2:19">
      <c r="D1" s="359"/>
      <c r="E1" s="359"/>
    </row>
    <row r="2" spans="2:19">
      <c r="D2" s="359"/>
      <c r="E2" s="359"/>
    </row>
    <row r="3" spans="2:19" ht="24.6">
      <c r="B3" s="1460" t="str">
        <f>UPPER('KEY INPUTS'!D54)&amp;"  UTILITY  FUND"</f>
        <v>WATER  UTILITY  FUND</v>
      </c>
      <c r="C3" s="1460"/>
      <c r="D3" s="1460"/>
      <c r="E3" s="1460"/>
      <c r="F3" s="1460"/>
      <c r="G3" s="1460"/>
      <c r="H3" s="1460"/>
      <c r="I3" s="1460"/>
      <c r="J3" s="1460"/>
    </row>
    <row r="4" spans="2:19">
      <c r="B4" s="513"/>
      <c r="C4" s="513"/>
      <c r="D4" s="513"/>
      <c r="E4" s="513"/>
    </row>
    <row r="5" spans="2:19" ht="17.399999999999999">
      <c r="B5" s="1380" t="str">
        <f>"CAPITAL  IMPROVEMENTS  AUTHORIZED  IN  "&amp;IF('KEY INPUTS'!C42="State Fiscal Year","FISCAL  YEAR  "&amp;'KEY INPUTS'!D33&amp;"",'KEY INPUTS'!D34)&amp;""</f>
        <v>CAPITAL  IMPROVEMENTS  AUTHORIZED  IN  2024</v>
      </c>
      <c r="C5" s="1380"/>
      <c r="D5" s="1380"/>
      <c r="E5" s="1380"/>
      <c r="F5" s="1380"/>
      <c r="G5" s="1380"/>
      <c r="H5" s="1380"/>
      <c r="I5" s="1380"/>
      <c r="J5" s="1380"/>
    </row>
    <row r="6" spans="2:19" ht="17.399999999999999">
      <c r="B6" s="1380" t="s">
        <v>3569</v>
      </c>
      <c r="C6" s="1380"/>
      <c r="D6" s="1380"/>
      <c r="E6" s="1380"/>
      <c r="F6" s="1380"/>
      <c r="G6" s="1380"/>
      <c r="H6" s="1380"/>
      <c r="I6" s="1380"/>
      <c r="J6" s="1380"/>
    </row>
    <row r="7" spans="2:19" ht="13.8" thickBot="1"/>
    <row r="8" spans="2:19" ht="13.8" thickTop="1">
      <c r="B8" s="323"/>
      <c r="C8" s="323"/>
      <c r="D8" s="323"/>
      <c r="E8" s="323"/>
      <c r="F8" s="323"/>
      <c r="G8" s="324"/>
      <c r="H8" s="324"/>
      <c r="I8" s="324"/>
      <c r="J8" s="353" t="s">
        <v>240</v>
      </c>
    </row>
    <row r="9" spans="2:19">
      <c r="C9" s="1352" t="s">
        <v>413</v>
      </c>
      <c r="D9" s="1352"/>
      <c r="E9" s="1352"/>
      <c r="G9" s="320" t="s">
        <v>414</v>
      </c>
      <c r="H9" s="320" t="s">
        <v>201</v>
      </c>
      <c r="I9" s="320" t="s">
        <v>204</v>
      </c>
      <c r="J9" s="302" t="s">
        <v>241</v>
      </c>
    </row>
    <row r="10" spans="2:19">
      <c r="G10" s="320" t="s">
        <v>202</v>
      </c>
      <c r="H10" s="320" t="s">
        <v>203</v>
      </c>
      <c r="I10" s="320" t="s">
        <v>205</v>
      </c>
      <c r="J10" s="302" t="str">
        <f>"of "&amp;IF('KEY INPUTS'!C42="State Fiscal Year","FY "&amp;'KEY INPUTS'!D33&amp;"",'KEY INPUTS'!D34)&amp;" or"</f>
        <v>of 2024 or</v>
      </c>
    </row>
    <row r="11" spans="2:19" ht="13.8" thickBot="1">
      <c r="B11" s="318"/>
      <c r="C11" s="318"/>
      <c r="D11" s="318"/>
      <c r="E11" s="318"/>
      <c r="F11" s="318"/>
      <c r="G11" s="317"/>
      <c r="H11" s="317" t="s">
        <v>441</v>
      </c>
      <c r="I11" s="317" t="s">
        <v>239</v>
      </c>
      <c r="J11" s="416" t="s">
        <v>3579</v>
      </c>
      <c r="M11"/>
      <c r="N11"/>
      <c r="O11"/>
      <c r="P11"/>
      <c r="Q11"/>
      <c r="R11"/>
      <c r="S11"/>
    </row>
    <row r="12" spans="2:19" ht="21" customHeight="1" thickTop="1">
      <c r="B12" s="518"/>
      <c r="C12" s="518"/>
      <c r="D12" s="518"/>
      <c r="E12" s="518"/>
      <c r="F12" s="518"/>
      <c r="G12" s="454"/>
      <c r="H12" s="454"/>
      <c r="I12" s="454"/>
      <c r="J12" s="486"/>
      <c r="M12"/>
      <c r="N12"/>
      <c r="O12"/>
      <c r="P12"/>
      <c r="Q12"/>
      <c r="R12"/>
      <c r="S12"/>
    </row>
    <row r="13" spans="2:19" ht="21" customHeight="1">
      <c r="B13" s="495"/>
      <c r="C13" s="495"/>
      <c r="D13" s="495"/>
      <c r="E13" s="495"/>
      <c r="F13" s="495"/>
      <c r="G13" s="450"/>
      <c r="H13" s="450"/>
      <c r="I13" s="450"/>
      <c r="J13" s="457"/>
      <c r="M13" s="294"/>
      <c r="N13"/>
      <c r="O13"/>
      <c r="P13"/>
      <c r="Q13"/>
      <c r="R13"/>
      <c r="S13"/>
    </row>
    <row r="14" spans="2:19" ht="21" customHeight="1">
      <c r="B14" s="495"/>
      <c r="C14" s="495"/>
      <c r="D14" s="495"/>
      <c r="E14" s="495"/>
      <c r="F14" s="495"/>
      <c r="G14" s="450"/>
      <c r="H14" s="450"/>
      <c r="I14" s="450"/>
      <c r="J14" s="457"/>
      <c r="M14"/>
      <c r="N14"/>
      <c r="O14"/>
      <c r="P14"/>
      <c r="Q14"/>
      <c r="R14"/>
      <c r="S14"/>
    </row>
    <row r="15" spans="2:19" ht="21" customHeight="1">
      <c r="B15" s="495"/>
      <c r="C15" s="495"/>
      <c r="D15" s="495"/>
      <c r="E15" s="495"/>
      <c r="F15" s="495"/>
      <c r="G15" s="450"/>
      <c r="H15" s="450"/>
      <c r="I15" s="450"/>
      <c r="J15" s="457"/>
      <c r="M15"/>
      <c r="N15"/>
      <c r="O15"/>
      <c r="P15"/>
      <c r="Q15"/>
      <c r="R15"/>
      <c r="S15"/>
    </row>
    <row r="16" spans="2:19" ht="21" customHeight="1">
      <c r="B16" s="495"/>
      <c r="C16" s="495"/>
      <c r="D16" s="495"/>
      <c r="E16" s="495"/>
      <c r="F16" s="495"/>
      <c r="G16" s="450"/>
      <c r="H16" s="450"/>
      <c r="I16" s="450"/>
      <c r="J16" s="457"/>
      <c r="M16"/>
      <c r="N16"/>
      <c r="O16"/>
      <c r="P16"/>
      <c r="Q16"/>
      <c r="R16"/>
      <c r="S16"/>
    </row>
    <row r="17" spans="2:19" ht="21" customHeight="1">
      <c r="B17" s="495"/>
      <c r="C17" s="495"/>
      <c r="D17" s="495"/>
      <c r="E17" s="495"/>
      <c r="F17" s="495"/>
      <c r="G17" s="450"/>
      <c r="H17" s="450"/>
      <c r="I17" s="450"/>
      <c r="J17" s="457"/>
      <c r="M17"/>
      <c r="N17"/>
      <c r="O17"/>
      <c r="P17"/>
      <c r="Q17"/>
      <c r="R17"/>
      <c r="S17"/>
    </row>
    <row r="18" spans="2:19" ht="21" customHeight="1">
      <c r="B18" s="495"/>
      <c r="C18" s="495"/>
      <c r="D18" s="495"/>
      <c r="E18" s="495"/>
      <c r="F18" s="495"/>
      <c r="G18" s="450"/>
      <c r="H18" s="450"/>
      <c r="I18" s="450"/>
      <c r="J18" s="457"/>
      <c r="M18"/>
      <c r="N18"/>
      <c r="O18"/>
      <c r="P18"/>
      <c r="Q18"/>
      <c r="R18"/>
      <c r="S18"/>
    </row>
    <row r="19" spans="2:19" ht="21" customHeight="1">
      <c r="B19" s="495"/>
      <c r="C19" s="495"/>
      <c r="D19" s="495"/>
      <c r="E19" s="495"/>
      <c r="F19" s="495"/>
      <c r="G19" s="450"/>
      <c r="H19" s="450"/>
      <c r="I19" s="450"/>
      <c r="J19" s="457"/>
      <c r="M19"/>
      <c r="N19"/>
      <c r="O19"/>
      <c r="P19"/>
      <c r="Q19"/>
      <c r="R19"/>
      <c r="S19"/>
    </row>
    <row r="20" spans="2:19" ht="21" customHeight="1">
      <c r="B20" s="495"/>
      <c r="C20" s="495"/>
      <c r="D20" s="495"/>
      <c r="E20" s="495"/>
      <c r="F20" s="495"/>
      <c r="G20" s="450"/>
      <c r="H20" s="450"/>
      <c r="I20" s="450"/>
      <c r="J20" s="457"/>
      <c r="M20"/>
      <c r="N20"/>
      <c r="O20"/>
      <c r="P20"/>
      <c r="Q20"/>
      <c r="R20"/>
      <c r="S20"/>
    </row>
    <row r="21" spans="2:19" ht="21" customHeight="1" thickBot="1">
      <c r="B21" s="495"/>
      <c r="C21" s="495"/>
      <c r="D21" s="495"/>
      <c r="E21" s="495"/>
      <c r="F21" s="495"/>
      <c r="G21" s="475"/>
      <c r="H21" s="475"/>
      <c r="I21" s="475"/>
      <c r="J21" s="516"/>
      <c r="M21"/>
      <c r="N21"/>
      <c r="O21"/>
      <c r="P21"/>
      <c r="Q21"/>
      <c r="R21"/>
      <c r="S21"/>
    </row>
    <row r="22" spans="2:19" ht="21" customHeight="1" thickTop="1" thickBot="1">
      <c r="B22" s="318"/>
      <c r="C22" s="318"/>
      <c r="D22" s="318"/>
      <c r="E22" s="318"/>
      <c r="F22" s="318"/>
      <c r="G22" s="303">
        <f>SUM(G12:G21)</f>
        <v>0</v>
      </c>
      <c r="H22" s="303">
        <f>SUM(H12:H21)</f>
        <v>0</v>
      </c>
      <c r="I22" s="303">
        <f>SUM(I12:I21)</f>
        <v>0</v>
      </c>
      <c r="J22" s="415">
        <f>SUM(J12:J21)</f>
        <v>0</v>
      </c>
      <c r="M22"/>
      <c r="N22"/>
      <c r="O22"/>
      <c r="P22"/>
      <c r="Q22"/>
      <c r="R22"/>
      <c r="S22"/>
    </row>
    <row r="23" spans="2:19" ht="13.8" thickTop="1">
      <c r="M23"/>
      <c r="N23"/>
      <c r="O23"/>
      <c r="P23"/>
      <c r="Q23"/>
      <c r="R23"/>
      <c r="S23"/>
    </row>
    <row r="24" spans="2:19">
      <c r="M24"/>
      <c r="N24"/>
      <c r="O24"/>
      <c r="P24"/>
      <c r="Q24"/>
      <c r="R24"/>
      <c r="S24"/>
    </row>
    <row r="25" spans="2:19">
      <c r="M25"/>
      <c r="N25"/>
      <c r="O25"/>
      <c r="P25"/>
      <c r="Q25"/>
      <c r="R25"/>
      <c r="S25"/>
    </row>
    <row r="26" spans="2:19">
      <c r="M26"/>
      <c r="N26"/>
      <c r="O26"/>
      <c r="P26"/>
      <c r="Q26"/>
      <c r="R26"/>
      <c r="S26"/>
    </row>
    <row r="27" spans="2:19">
      <c r="M27"/>
      <c r="N27"/>
      <c r="O27"/>
      <c r="P27"/>
      <c r="Q27"/>
      <c r="R27"/>
      <c r="S27"/>
    </row>
    <row r="28" spans="2:19" ht="22.8">
      <c r="B28" s="1358" t="str">
        <f>UPPER('KEY INPUTS'!D54)&amp;" UTILITY  CAPITAL  FUND"</f>
        <v>WATER UTILITY  CAPITAL  FUND</v>
      </c>
      <c r="C28" s="1358"/>
      <c r="D28" s="1358"/>
      <c r="E28" s="1358"/>
      <c r="F28" s="1358"/>
      <c r="G28" s="1358"/>
      <c r="H28" s="1358"/>
      <c r="I28" s="1358"/>
      <c r="J28" s="1358"/>
    </row>
    <row r="29" spans="2:19" ht="22.8">
      <c r="B29" s="1358" t="s">
        <v>154</v>
      </c>
      <c r="C29" s="1358"/>
      <c r="D29" s="1358"/>
      <c r="E29" s="1358"/>
      <c r="F29" s="1358"/>
      <c r="G29" s="1358"/>
      <c r="H29" s="1358"/>
      <c r="I29" s="1358"/>
      <c r="J29" s="1358"/>
    </row>
    <row r="31" spans="2:19" ht="15.6">
      <c r="B31" s="1354" t="str">
        <f>IF('KEY INPUTS'!C42="State Fiscal Year",(UPPER("Fiscal Year "&amp;'KEY INPUTS'!D33))&amp;"",'KEY INPUTS'!D34)&amp;""</f>
        <v>2024</v>
      </c>
      <c r="C31" s="1354"/>
      <c r="D31" s="1354"/>
      <c r="E31" s="1354"/>
      <c r="F31" s="1354"/>
      <c r="G31" s="1354"/>
      <c r="H31" s="1354"/>
      <c r="I31" s="1354"/>
      <c r="J31" s="1354"/>
    </row>
    <row r="32" spans="2:19" ht="13.8" thickBot="1"/>
    <row r="33" spans="2:10" ht="28.5" customHeight="1" thickTop="1" thickBot="1">
      <c r="B33" s="364"/>
      <c r="C33" s="364"/>
      <c r="D33" s="364"/>
      <c r="E33" s="364"/>
      <c r="F33" s="364"/>
      <c r="G33" s="364"/>
      <c r="H33" s="364"/>
      <c r="I33" s="304" t="s">
        <v>96</v>
      </c>
      <c r="J33" s="308" t="s">
        <v>97</v>
      </c>
    </row>
    <row r="34" spans="2:10" ht="21" customHeight="1" thickTop="1">
      <c r="B34" s="547" t="str">
        <f>'53-Utility1'!B8</f>
        <v>Balance - January 1, 2024</v>
      </c>
      <c r="C34" s="313"/>
      <c r="D34" s="313"/>
      <c r="E34" s="313"/>
      <c r="F34" s="313"/>
      <c r="G34" s="313"/>
      <c r="H34" s="313"/>
      <c r="I34" s="358" t="s">
        <v>627</v>
      </c>
      <c r="J34" s="485">
        <v>675.24</v>
      </c>
    </row>
    <row r="35" spans="2:10" ht="21" customHeight="1">
      <c r="B35" s="248" t="s">
        <v>155</v>
      </c>
      <c r="C35" s="248"/>
      <c r="D35" s="248"/>
      <c r="E35" s="248"/>
      <c r="F35" s="248"/>
      <c r="G35" s="248"/>
      <c r="H35" s="248"/>
      <c r="I35" s="254" t="s">
        <v>627</v>
      </c>
      <c r="J35" s="429"/>
    </row>
    <row r="36" spans="2:10" ht="21" customHeight="1">
      <c r="B36" s="248" t="s">
        <v>156</v>
      </c>
      <c r="C36" s="248"/>
      <c r="D36" s="248"/>
      <c r="E36" s="248"/>
      <c r="F36" s="248"/>
      <c r="G36" s="248"/>
      <c r="H36" s="248"/>
      <c r="I36" s="254" t="s">
        <v>627</v>
      </c>
      <c r="J36" s="429"/>
    </row>
    <row r="37" spans="2:10" ht="21" customHeight="1">
      <c r="B37" s="495" t="s">
        <v>3212</v>
      </c>
      <c r="C37" s="495"/>
      <c r="D37" s="495"/>
      <c r="E37" s="495"/>
      <c r="F37" s="495"/>
      <c r="G37" s="495"/>
      <c r="H37" s="495"/>
      <c r="I37" s="291"/>
      <c r="J37" s="429"/>
    </row>
    <row r="38" spans="2:10" ht="21" customHeight="1">
      <c r="B38" s="495"/>
      <c r="C38" s="495"/>
      <c r="D38" s="495"/>
      <c r="E38" s="495"/>
      <c r="F38" s="495"/>
      <c r="G38" s="495"/>
      <c r="H38" s="495"/>
      <c r="I38" s="291"/>
      <c r="J38" s="429"/>
    </row>
    <row r="39" spans="2:10" ht="21" customHeight="1">
      <c r="B39" s="495"/>
      <c r="C39" s="495"/>
      <c r="D39" s="495"/>
      <c r="E39" s="495"/>
      <c r="F39" s="495"/>
      <c r="G39" s="495"/>
      <c r="H39" s="495"/>
      <c r="I39" s="291"/>
      <c r="J39" s="429"/>
    </row>
    <row r="40" spans="2:10" ht="21" customHeight="1">
      <c r="B40" s="248" t="s">
        <v>3174</v>
      </c>
      <c r="C40" s="248"/>
      <c r="D40" s="248"/>
      <c r="E40" s="248"/>
      <c r="F40" s="248"/>
      <c r="G40" s="248"/>
      <c r="H40" s="248"/>
      <c r="I40" s="291"/>
      <c r="J40" s="232" t="s">
        <v>627</v>
      </c>
    </row>
    <row r="41" spans="2:10" ht="21" customHeight="1">
      <c r="B41" s="248" t="str">
        <f>"Appropriation to "&amp;IF('KEY INPUTS'!C42="State Fiscal Year","Fiscal Year "&amp;'KEY INPUTS'!D33&amp;"",'KEY INPUTS'!D34)&amp;" Budget Reserve"</f>
        <v>Appropriation to 2024 Budget Reserve</v>
      </c>
      <c r="C41" s="248"/>
      <c r="D41" s="248"/>
      <c r="E41" s="248"/>
      <c r="F41" s="248"/>
      <c r="G41" s="414"/>
      <c r="H41" s="248"/>
      <c r="I41" s="426"/>
      <c r="J41" s="232" t="s">
        <v>627</v>
      </c>
    </row>
    <row r="42" spans="2:10" ht="21" customHeight="1">
      <c r="B42" s="248" t="str">
        <f>'53-Utility1'!B24</f>
        <v>Balance - December 31, 2024</v>
      </c>
      <c r="C42" s="248"/>
      <c r="D42" s="248"/>
      <c r="E42" s="248"/>
      <c r="F42" s="248"/>
      <c r="G42" s="248"/>
      <c r="H42" s="248"/>
      <c r="I42" s="222">
        <f>SUM(J34:J39)-SUM(I37:I41)</f>
        <v>675.24</v>
      </c>
      <c r="J42" s="232" t="s">
        <v>627</v>
      </c>
    </row>
    <row r="43" spans="2:10" ht="21" customHeight="1" thickBot="1">
      <c r="I43" s="356">
        <f>SUM(I34:I42)</f>
        <v>675.24</v>
      </c>
      <c r="J43" s="413">
        <f>SUM(J34:J42)</f>
        <v>675.24</v>
      </c>
    </row>
    <row r="44" spans="2:10" ht="21" customHeight="1" thickTop="1"/>
    <row r="45" spans="2:10" ht="21" customHeight="1"/>
    <row r="46" spans="2:10" ht="21" customHeight="1"/>
    <row r="47" spans="2:10" ht="21" customHeight="1"/>
    <row r="48" spans="2:10" ht="21" customHeight="1"/>
    <row r="49" spans="2:10" ht="21" customHeight="1"/>
    <row r="52" spans="2:10" ht="13.8">
      <c r="B52" s="1353" t="s">
        <v>3173</v>
      </c>
      <c r="C52" s="1353"/>
      <c r="D52" s="1353"/>
      <c r="E52" s="1353"/>
      <c r="F52" s="1353"/>
      <c r="G52" s="1353"/>
      <c r="H52" s="1353"/>
      <c r="I52" s="1353"/>
      <c r="J52" s="1353"/>
    </row>
  </sheetData>
  <sheetProtection algorithmName="SHA-512" hashValue="EdMrr7yY2OTD3s76PGZGeTDUxGlyi3VyhFxN4sQACLpF7Mg2WF6XJIexYwtwmxvl7Egoyi4piAjMFkn5ssiUfA==" saltValue="pdJuX2Zt8RO6B1TA+4GwEw==" spinCount="100000" sheet="1" objects="1" scenarios="1"/>
  <mergeCells count="8">
    <mergeCell ref="B3:J3"/>
    <mergeCell ref="B28:J28"/>
    <mergeCell ref="B29:J29"/>
    <mergeCell ref="B31:J31"/>
    <mergeCell ref="B52:J52"/>
    <mergeCell ref="B5:J5"/>
    <mergeCell ref="B6:J6"/>
    <mergeCell ref="C9:E9"/>
  </mergeCells>
  <pageMargins left="0.25" right="0.25" top="0.5" bottom="0.5" header="0.25" footer="0.25"/>
  <pageSetup paperSize="5"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86EA1-2F21-48DC-8654-67D999C7E85E}">
  <sheetPr codeName="Sheet178">
    <tabColor theme="3" tint="0.39997558519241921"/>
    <pageSetUpPr fitToPage="1"/>
  </sheetPr>
  <dimension ref="B2:R57"/>
  <sheetViews>
    <sheetView zoomScaleNormal="100" zoomScaleSheetLayoutView="80" workbookViewId="0">
      <selection activeCell="G18" sqref="G18"/>
    </sheetView>
  </sheetViews>
  <sheetFormatPr defaultColWidth="8.88671875" defaultRowHeight="13.2"/>
  <cols>
    <col min="1" max="1" width="4.6640625" style="267" customWidth="1"/>
    <col min="2" max="2" width="4.88671875" style="267" customWidth="1"/>
    <col min="3" max="4" width="4.6640625" style="267" customWidth="1"/>
    <col min="5" max="5" width="30.6640625" style="267" customWidth="1"/>
    <col min="6" max="6" width="15.6640625" style="267" customWidth="1"/>
    <col min="7" max="8" width="16.6640625" style="267" customWidth="1"/>
    <col min="9" max="9" width="3.6640625" style="267" bestFit="1" customWidth="1"/>
    <col min="10" max="10" width="13.5546875" style="267" bestFit="1" customWidth="1"/>
    <col min="11" max="16384" width="8.88671875" style="267"/>
  </cols>
  <sheetData>
    <row r="2" spans="2:18">
      <c r="B2" s="1357" t="s">
        <v>35</v>
      </c>
      <c r="C2" s="1357"/>
      <c r="D2" s="1357"/>
      <c r="E2" s="1357"/>
      <c r="F2" s="1357"/>
      <c r="G2" s="1357"/>
      <c r="H2" s="1357"/>
    </row>
    <row r="3" spans="2:18">
      <c r="B3" s="1357" t="s">
        <v>449</v>
      </c>
      <c r="C3" s="1357"/>
      <c r="D3" s="1357"/>
      <c r="E3" s="1357"/>
      <c r="F3" s="1357"/>
      <c r="G3" s="1357"/>
      <c r="H3" s="1357"/>
    </row>
    <row r="5" spans="2:18" ht="22.8">
      <c r="B5" s="1358" t="s">
        <v>424</v>
      </c>
      <c r="C5" s="1358"/>
      <c r="D5" s="1358"/>
      <c r="E5" s="1358"/>
      <c r="F5" s="1358"/>
      <c r="G5" s="1358"/>
      <c r="H5" s="1358"/>
    </row>
    <row r="6" spans="2:18" ht="22.8">
      <c r="B6" s="1358" t="str">
        <f>"TRIAL  BALANCE - "&amp;UPPER('KEY INPUTS'!D55)&amp;"  UTILITY  FUND"</f>
        <v>TRIAL  BALANCE - SEWER  UTILITY  FUND</v>
      </c>
      <c r="C6" s="1358"/>
      <c r="D6" s="1358"/>
      <c r="E6" s="1358"/>
      <c r="F6" s="1358"/>
      <c r="G6" s="1358"/>
      <c r="H6" s="1358"/>
    </row>
    <row r="7" spans="2:18" ht="15.6">
      <c r="B7" s="1359" t="str">
        <f>IF('KEY INPUTS'!C42 = "State Fiscal Year", 'KEY INPUTS'!F45,'KEY INPUTS'!D45)</f>
        <v>AS  AT  DECEMBER  31, 2024</v>
      </c>
      <c r="C7" s="1360"/>
      <c r="D7" s="1360"/>
      <c r="E7" s="1360"/>
      <c r="F7" s="1360"/>
      <c r="G7" s="1360"/>
      <c r="H7" s="1360"/>
    </row>
    <row r="8" spans="2:18" ht="15.6">
      <c r="B8" s="1354" t="s">
        <v>450</v>
      </c>
      <c r="C8" s="1354"/>
      <c r="D8" s="1354"/>
      <c r="E8" s="1354"/>
      <c r="F8" s="1354"/>
      <c r="G8" s="1354"/>
      <c r="H8" s="1354"/>
    </row>
    <row r="9" spans="2:18">
      <c r="B9" s="1355" t="s">
        <v>70</v>
      </c>
      <c r="C9" s="1355"/>
      <c r="D9" s="1355"/>
      <c r="E9" s="1355"/>
      <c r="F9" s="1355"/>
      <c r="G9" s="1355"/>
      <c r="H9" s="1355"/>
    </row>
    <row r="10" spans="2:18" ht="15" customHeight="1" thickBot="1">
      <c r="B10" s="1356" t="s">
        <v>71</v>
      </c>
      <c r="C10" s="1356"/>
      <c r="D10" s="1356"/>
      <c r="E10" s="1356"/>
      <c r="F10" s="1356"/>
      <c r="G10" s="1356"/>
      <c r="H10" s="1356"/>
    </row>
    <row r="11" spans="2:18" ht="36" customHeight="1" thickTop="1" thickBot="1">
      <c r="B11" s="1350" t="s">
        <v>95</v>
      </c>
      <c r="C11" s="1350"/>
      <c r="D11" s="1350"/>
      <c r="E11" s="1350"/>
      <c r="F11" s="1351"/>
      <c r="G11" s="304" t="s">
        <v>96</v>
      </c>
      <c r="H11" s="308" t="s">
        <v>97</v>
      </c>
      <c r="L11"/>
      <c r="M11"/>
      <c r="N11"/>
      <c r="O11"/>
      <c r="P11"/>
      <c r="Q11"/>
      <c r="R11"/>
    </row>
    <row r="12" spans="2:18" ht="21" customHeight="1" thickTop="1">
      <c r="G12" s="775"/>
      <c r="H12" s="776"/>
      <c r="L12"/>
      <c r="M12"/>
      <c r="N12"/>
      <c r="O12"/>
      <c r="P12"/>
      <c r="Q12"/>
      <c r="R12"/>
    </row>
    <row r="13" spans="2:18" ht="21" customHeight="1">
      <c r="B13" s="248" t="s">
        <v>194</v>
      </c>
      <c r="C13" s="248"/>
      <c r="D13" s="248"/>
      <c r="E13" s="248"/>
      <c r="F13" s="248"/>
      <c r="G13" s="450">
        <v>926946.19</v>
      </c>
      <c r="H13" s="457"/>
      <c r="J13" s="573"/>
      <c r="L13" s="294"/>
      <c r="M13"/>
      <c r="N13"/>
      <c r="O13"/>
      <c r="P13"/>
      <c r="Q13"/>
      <c r="R13"/>
    </row>
    <row r="14" spans="2:18" ht="21" customHeight="1">
      <c r="B14" s="495" t="s">
        <v>315</v>
      </c>
      <c r="C14" s="495"/>
      <c r="D14" s="495"/>
      <c r="E14" s="495"/>
      <c r="F14" s="499"/>
      <c r="G14" s="450"/>
      <c r="H14" s="457"/>
      <c r="J14" s="573"/>
      <c r="L14"/>
      <c r="M14"/>
      <c r="N14"/>
      <c r="O14"/>
      <c r="P14"/>
      <c r="Q14"/>
      <c r="R14"/>
    </row>
    <row r="15" spans="2:18" ht="21" customHeight="1">
      <c r="B15" s="496"/>
      <c r="C15" s="496"/>
      <c r="D15" s="496"/>
      <c r="E15" s="496"/>
      <c r="F15" s="496"/>
      <c r="G15" s="450"/>
      <c r="H15" s="457"/>
      <c r="L15"/>
      <c r="M15"/>
      <c r="N15"/>
      <c r="O15"/>
      <c r="P15"/>
      <c r="Q15"/>
      <c r="R15"/>
    </row>
    <row r="16" spans="2:18" ht="21" customHeight="1">
      <c r="B16" s="495" t="s">
        <v>3689</v>
      </c>
      <c r="C16" s="495"/>
      <c r="D16" s="495"/>
      <c r="E16" s="495"/>
      <c r="F16" s="495"/>
      <c r="G16" s="772">
        <v>7097.64</v>
      </c>
      <c r="H16" s="772"/>
      <c r="L16"/>
      <c r="M16"/>
      <c r="N16"/>
      <c r="O16"/>
      <c r="P16"/>
      <c r="Q16"/>
      <c r="R16"/>
    </row>
    <row r="17" spans="2:18" ht="21" customHeight="1">
      <c r="B17" s="495" t="s">
        <v>3691</v>
      </c>
      <c r="C17" s="495"/>
      <c r="D17" s="495"/>
      <c r="E17" s="495"/>
      <c r="F17" s="495"/>
      <c r="G17" s="772">
        <v>51566.94</v>
      </c>
      <c r="H17" s="772"/>
      <c r="L17"/>
      <c r="M17"/>
      <c r="N17"/>
      <c r="O17"/>
      <c r="P17"/>
      <c r="Q17"/>
      <c r="R17"/>
    </row>
    <row r="18" spans="2:18" ht="21" customHeight="1">
      <c r="B18" s="495"/>
      <c r="C18" s="495"/>
      <c r="D18" s="495"/>
      <c r="E18" s="495"/>
      <c r="F18" s="495"/>
      <c r="G18" s="772"/>
      <c r="H18" s="772"/>
      <c r="L18"/>
      <c r="M18"/>
      <c r="N18"/>
      <c r="O18"/>
      <c r="P18"/>
      <c r="Q18"/>
      <c r="R18"/>
    </row>
    <row r="19" spans="2:18" ht="21" customHeight="1">
      <c r="B19" s="385" t="s">
        <v>3202</v>
      </c>
      <c r="G19" s="777"/>
      <c r="H19" s="376"/>
      <c r="L19"/>
      <c r="M19"/>
      <c r="N19"/>
      <c r="O19"/>
      <c r="P19"/>
      <c r="Q19"/>
      <c r="R19"/>
    </row>
    <row r="20" spans="2:18" ht="21" customHeight="1">
      <c r="B20" s="248" t="s">
        <v>3203</v>
      </c>
      <c r="C20" s="248"/>
      <c r="D20" s="248"/>
      <c r="E20" s="248"/>
      <c r="F20" s="248"/>
      <c r="G20" s="778">
        <f>+'47-Utility2'!L24</f>
        <v>73148.539999999979</v>
      </c>
      <c r="H20" s="779"/>
      <c r="L20"/>
      <c r="M20"/>
      <c r="N20"/>
      <c r="O20"/>
      <c r="P20"/>
      <c r="Q20"/>
      <c r="R20"/>
    </row>
    <row r="21" spans="2:18" ht="21" customHeight="1">
      <c r="B21" s="248" t="s">
        <v>3204</v>
      </c>
      <c r="C21" s="248"/>
      <c r="D21" s="248"/>
      <c r="E21" s="248"/>
      <c r="F21" s="248"/>
      <c r="G21" s="533">
        <f>+'47-Utility2'!L54</f>
        <v>0</v>
      </c>
      <c r="L21"/>
      <c r="M21"/>
      <c r="N21"/>
      <c r="O21"/>
      <c r="P21"/>
      <c r="Q21"/>
      <c r="R21"/>
    </row>
    <row r="22" spans="2:18" ht="21" customHeight="1">
      <c r="B22" s="495"/>
      <c r="C22" s="495"/>
      <c r="D22" s="495"/>
      <c r="E22" s="495"/>
      <c r="F22" s="495"/>
      <c r="G22" s="450"/>
      <c r="H22" s="457"/>
      <c r="L22"/>
      <c r="M22"/>
      <c r="N22"/>
      <c r="O22"/>
      <c r="P22"/>
      <c r="Q22"/>
      <c r="R22"/>
    </row>
    <row r="23" spans="2:18" ht="21" customHeight="1">
      <c r="B23" s="495"/>
      <c r="C23" s="495"/>
      <c r="D23" s="495"/>
      <c r="E23" s="495"/>
      <c r="F23" s="495"/>
      <c r="G23" s="450"/>
      <c r="H23" s="457"/>
      <c r="J23" s="573"/>
      <c r="L23"/>
      <c r="M23"/>
      <c r="N23"/>
      <c r="O23"/>
      <c r="P23"/>
      <c r="Q23"/>
      <c r="R23"/>
    </row>
    <row r="24" spans="2:18" ht="21" customHeight="1">
      <c r="B24" s="495"/>
      <c r="C24" s="495"/>
      <c r="D24" s="495"/>
      <c r="E24" s="495"/>
      <c r="F24" s="495"/>
      <c r="G24" s="450"/>
      <c r="H24" s="457"/>
      <c r="J24" s="573"/>
      <c r="L24"/>
      <c r="M24"/>
      <c r="N24"/>
      <c r="O24"/>
      <c r="P24"/>
      <c r="Q24"/>
      <c r="R24"/>
    </row>
    <row r="25" spans="2:18" ht="21" customHeight="1">
      <c r="B25" s="495"/>
      <c r="C25" s="495"/>
      <c r="D25" s="495"/>
      <c r="E25" s="495"/>
      <c r="F25" s="495"/>
      <c r="G25" s="450"/>
      <c r="H25" s="457"/>
      <c r="L25"/>
      <c r="M25"/>
      <c r="N25"/>
      <c r="O25"/>
      <c r="P25"/>
      <c r="Q25"/>
      <c r="R25"/>
    </row>
    <row r="26" spans="2:18" ht="21" customHeight="1">
      <c r="B26" s="248" t="s">
        <v>3205</v>
      </c>
      <c r="C26" s="248"/>
      <c r="D26" s="248"/>
      <c r="E26" s="248"/>
      <c r="F26" s="248"/>
      <c r="G26" s="533"/>
      <c r="H26" s="780"/>
      <c r="L26"/>
      <c r="M26"/>
      <c r="N26"/>
      <c r="O26"/>
      <c r="P26"/>
      <c r="Q26"/>
      <c r="R26"/>
    </row>
    <row r="27" spans="2:18" ht="21" customHeight="1">
      <c r="B27" s="495"/>
      <c r="C27" s="495"/>
      <c r="D27" s="495"/>
      <c r="E27" s="495"/>
      <c r="F27" s="495"/>
      <c r="G27" s="450"/>
      <c r="H27" s="457"/>
      <c r="L27"/>
      <c r="M27"/>
      <c r="N27"/>
      <c r="O27"/>
      <c r="P27"/>
      <c r="Q27"/>
      <c r="R27"/>
    </row>
    <row r="28" spans="2:18" ht="21" customHeight="1">
      <c r="B28" s="495"/>
      <c r="C28" s="495"/>
      <c r="D28" s="495"/>
      <c r="E28" s="495"/>
      <c r="F28" s="495"/>
      <c r="G28" s="450"/>
      <c r="H28" s="457"/>
    </row>
    <row r="29" spans="2:18" ht="21" customHeight="1">
      <c r="B29" s="495"/>
      <c r="C29" s="495"/>
      <c r="D29" s="495"/>
      <c r="E29" s="495"/>
      <c r="F29" s="495"/>
      <c r="G29" s="450"/>
      <c r="H29" s="457"/>
    </row>
    <row r="30" spans="2:18" ht="21" customHeight="1">
      <c r="B30" s="307" t="s">
        <v>3206</v>
      </c>
      <c r="C30" s="248"/>
      <c r="D30" s="248"/>
      <c r="E30" s="248"/>
      <c r="F30" s="248"/>
      <c r="G30" s="533"/>
      <c r="H30" s="780"/>
    </row>
    <row r="31" spans="2:18" ht="21" customHeight="1">
      <c r="B31" s="248" t="s">
        <v>3135</v>
      </c>
      <c r="C31" s="248"/>
      <c r="D31" s="248"/>
      <c r="E31" s="248"/>
      <c r="F31" s="248"/>
      <c r="G31" s="450"/>
      <c r="H31" s="780">
        <f>+'44-Utility2'!I37</f>
        <v>15515.52</v>
      </c>
      <c r="J31" s="573"/>
    </row>
    <row r="32" spans="2:18" ht="21" customHeight="1">
      <c r="B32" s="248" t="s">
        <v>3134</v>
      </c>
      <c r="C32" s="248"/>
      <c r="D32" s="248"/>
      <c r="E32" s="248"/>
      <c r="F32" s="248"/>
      <c r="G32" s="450"/>
      <c r="H32" s="457">
        <v>905.86</v>
      </c>
    </row>
    <row r="33" spans="2:10" ht="21" customHeight="1">
      <c r="B33" s="248" t="s">
        <v>3133</v>
      </c>
      <c r="C33" s="248"/>
      <c r="D33" s="248"/>
      <c r="E33" s="248"/>
      <c r="F33" s="248"/>
      <c r="G33" s="450"/>
      <c r="H33" s="781">
        <f>+'49-Utility2'!I29+'49a-Utility2'!I29+'50.1-Utility2'!M24+'49a.1-Utility2'!I29</f>
        <v>31584.1</v>
      </c>
      <c r="J33" s="573"/>
    </row>
    <row r="34" spans="2:10" ht="21" customHeight="1">
      <c r="B34" s="495" t="s">
        <v>3690</v>
      </c>
      <c r="C34" s="495"/>
      <c r="D34" s="495"/>
      <c r="E34" s="495"/>
      <c r="F34" s="499"/>
      <c r="G34" s="450"/>
      <c r="H34" s="457">
        <v>200200.71</v>
      </c>
    </row>
    <row r="35" spans="2:10" ht="21" customHeight="1">
      <c r="B35" s="496" t="s">
        <v>3698</v>
      </c>
      <c r="C35" s="496"/>
      <c r="D35" s="496"/>
      <c r="E35" s="496"/>
      <c r="F35" s="496"/>
      <c r="G35" s="773"/>
      <c r="H35" s="772">
        <v>92894.43</v>
      </c>
    </row>
    <row r="36" spans="2:10" ht="21" customHeight="1">
      <c r="B36" s="495" t="s">
        <v>3674</v>
      </c>
      <c r="C36" s="495"/>
      <c r="D36" s="495"/>
      <c r="E36" s="495"/>
      <c r="F36" s="495"/>
      <c r="G36" s="450"/>
      <c r="H36" s="457">
        <v>68.819999999999993</v>
      </c>
    </row>
    <row r="37" spans="2:10" ht="21" customHeight="1">
      <c r="B37" s="495" t="s">
        <v>3692</v>
      </c>
      <c r="C37" s="496"/>
      <c r="D37" s="495"/>
      <c r="E37" s="495"/>
      <c r="F37" s="517"/>
      <c r="G37" s="774"/>
      <c r="H37" s="479">
        <v>2484.75</v>
      </c>
    </row>
    <row r="38" spans="2:10" ht="21" customHeight="1" thickBot="1">
      <c r="B38" s="495"/>
      <c r="C38" s="495"/>
      <c r="D38" s="495"/>
      <c r="E38" s="495"/>
      <c r="F38" s="495"/>
      <c r="G38" s="479"/>
      <c r="H38" s="481"/>
    </row>
    <row r="39" spans="2:10" ht="21" customHeight="1" thickTop="1">
      <c r="B39" s="248"/>
      <c r="C39" s="248" t="s">
        <v>3132</v>
      </c>
      <c r="D39" s="248"/>
      <c r="E39" s="248"/>
      <c r="F39" s="871"/>
      <c r="G39" s="872"/>
      <c r="H39" s="834">
        <f>SUM(H28:H38)</f>
        <v>343654.19</v>
      </c>
      <c r="I39" s="267" t="s">
        <v>795</v>
      </c>
    </row>
    <row r="40" spans="2:10" ht="21" customHeight="1">
      <c r="B40" s="333" t="s">
        <v>3215</v>
      </c>
      <c r="C40" s="333"/>
      <c r="D40" s="333"/>
      <c r="E40" s="333"/>
      <c r="F40" s="333"/>
      <c r="G40" s="779"/>
      <c r="H40" s="479">
        <v>73148.539999999994</v>
      </c>
    </row>
    <row r="41" spans="2:10" ht="21" customHeight="1">
      <c r="B41" s="495"/>
      <c r="C41" s="495"/>
      <c r="D41" s="495"/>
      <c r="E41" s="495"/>
      <c r="F41" s="495"/>
      <c r="G41" s="450"/>
      <c r="H41" s="457"/>
    </row>
    <row r="42" spans="2:10" ht="21" customHeight="1">
      <c r="B42" s="248" t="s">
        <v>617</v>
      </c>
      <c r="C42" s="248"/>
      <c r="D42" s="248"/>
      <c r="E42" s="248"/>
      <c r="F42" s="248"/>
      <c r="G42" s="533"/>
      <c r="H42" s="780">
        <f>+'46-Utility2'!K27</f>
        <v>641956.58000000007</v>
      </c>
    </row>
    <row r="43" spans="2:10" ht="21" customHeight="1" thickBot="1">
      <c r="B43" s="248"/>
      <c r="C43" s="248"/>
      <c r="D43" s="248"/>
      <c r="E43" s="248"/>
      <c r="F43" s="248"/>
      <c r="G43" s="783"/>
      <c r="H43" s="784"/>
    </row>
    <row r="44" spans="2:10" ht="21" customHeight="1" thickBot="1">
      <c r="B44" s="248" t="s">
        <v>3216</v>
      </c>
      <c r="C44" s="248"/>
      <c r="D44" s="248"/>
      <c r="E44" s="248"/>
      <c r="F44" s="248"/>
      <c r="G44" s="785">
        <f>SUM(G12:G43)</f>
        <v>1058759.31</v>
      </c>
      <c r="H44" s="786">
        <f>SUM(H39:H43)</f>
        <v>1058759.31</v>
      </c>
      <c r="J44" s="301">
        <f>G44-H44</f>
        <v>0</v>
      </c>
    </row>
    <row r="45" spans="2:10" ht="13.8" thickTop="1">
      <c r="B45" s="1352" t="s">
        <v>98</v>
      </c>
      <c r="C45" s="1352"/>
      <c r="D45" s="1352"/>
      <c r="E45" s="1352"/>
      <c r="F45" s="1352"/>
      <c r="G45" s="1352"/>
      <c r="H45" s="1352"/>
    </row>
    <row r="46" spans="2:10">
      <c r="B46" s="302"/>
      <c r="C46" s="302"/>
      <c r="D46" s="302"/>
      <c r="E46" s="302"/>
      <c r="F46" s="302"/>
      <c r="G46" s="302"/>
      <c r="H46" s="302"/>
    </row>
    <row r="47" spans="2:10">
      <c r="B47" s="302"/>
      <c r="C47" s="302"/>
      <c r="D47" s="302"/>
      <c r="E47" s="302"/>
      <c r="F47" s="302"/>
      <c r="G47" s="302"/>
      <c r="H47" s="302"/>
    </row>
    <row r="48" spans="2:10">
      <c r="B48" s="302"/>
      <c r="C48" s="302"/>
      <c r="D48" s="302"/>
      <c r="E48" s="302"/>
      <c r="F48" s="302"/>
      <c r="G48" s="302"/>
      <c r="H48" s="302"/>
    </row>
    <row r="49" spans="2:8">
      <c r="B49" s="302"/>
      <c r="C49" s="302"/>
      <c r="D49" s="302"/>
      <c r="E49" s="302"/>
      <c r="F49" s="302"/>
      <c r="G49" s="302"/>
      <c r="H49" s="302"/>
    </row>
    <row r="50" spans="2:8" ht="13.8">
      <c r="B50" s="1353" t="s">
        <v>3130</v>
      </c>
      <c r="C50" s="1353"/>
      <c r="D50" s="1353"/>
      <c r="E50" s="1353"/>
      <c r="F50" s="1353"/>
      <c r="G50" s="1353"/>
      <c r="H50" s="1353"/>
    </row>
    <row r="54" spans="2:8">
      <c r="H54" s="301"/>
    </row>
    <row r="57" spans="2:8">
      <c r="H57" s="301">
        <f>+H44-G44</f>
        <v>0</v>
      </c>
    </row>
  </sheetData>
  <sheetProtection algorithmName="SHA-512" hashValue="giVWZc5XZSlW4JXiJadXDHtAkVv3jPbyxRiyQ29P0H5j99Kk11Ow7D3cQi2VsyYVPDhivoGzGgXe1n43NvALIg==" saltValue="u33/c69tpYTWb0WTiXGcNg=="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scale="76" orientation="portrait"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EE938-29A0-47DD-888F-FCBAB4A93404}">
  <sheetPr codeName="Sheet179">
    <tabColor theme="3" tint="0.39997558519241921"/>
    <pageSetUpPr fitToPage="1"/>
  </sheetPr>
  <dimension ref="B1:Q55"/>
  <sheetViews>
    <sheetView topLeftCell="A4" zoomScaleNormal="100" zoomScaleSheetLayoutView="80" workbookViewId="0">
      <selection activeCell="G18" sqref="G18"/>
    </sheetView>
  </sheetViews>
  <sheetFormatPr defaultColWidth="8.88671875" defaultRowHeight="13.2"/>
  <cols>
    <col min="1" max="1" width="4.6640625" style="267" customWidth="1"/>
    <col min="2" max="2" width="4.88671875" style="267" customWidth="1"/>
    <col min="3" max="4" width="4.6640625" style="267" customWidth="1"/>
    <col min="5" max="5" width="34.33203125" style="267" customWidth="1"/>
    <col min="6" max="6" width="15.6640625" style="267" customWidth="1"/>
    <col min="7" max="8" width="16.6640625" style="267" customWidth="1"/>
    <col min="9" max="9" width="10.88671875" style="267" bestFit="1" customWidth="1"/>
    <col min="10" max="10" width="8.88671875" style="267"/>
    <col min="11" max="11" width="10.33203125" style="267" bestFit="1" customWidth="1"/>
    <col min="12" max="12" width="8.88671875" style="267"/>
    <col min="13" max="13" width="13.88671875" style="267" bestFit="1" customWidth="1"/>
    <col min="14" max="16384" width="8.88671875" style="267"/>
  </cols>
  <sheetData>
    <row r="1" spans="2:17">
      <c r="B1" s="513"/>
      <c r="C1" s="513"/>
      <c r="D1" s="513"/>
      <c r="E1" s="513"/>
      <c r="F1" s="513"/>
      <c r="G1" s="513"/>
      <c r="H1" s="513"/>
    </row>
    <row r="2" spans="2:17">
      <c r="B2" s="1466" t="s">
        <v>35</v>
      </c>
      <c r="C2" s="1466"/>
      <c r="D2" s="1466"/>
      <c r="E2" s="1466"/>
      <c r="F2" s="1466"/>
      <c r="G2" s="1466"/>
      <c r="H2" s="1466"/>
    </row>
    <row r="3" spans="2:17">
      <c r="B3" s="1466" t="s">
        <v>449</v>
      </c>
      <c r="C3" s="1466"/>
      <c r="D3" s="1466"/>
      <c r="E3" s="1466"/>
      <c r="F3" s="1466"/>
      <c r="G3" s="1466"/>
      <c r="H3" s="1466"/>
    </row>
    <row r="4" spans="2:17">
      <c r="B4" s="513"/>
      <c r="C4" s="513"/>
      <c r="D4" s="513"/>
      <c r="E4" s="513"/>
      <c r="F4" s="513"/>
      <c r="G4" s="513"/>
      <c r="H4" s="513"/>
    </row>
    <row r="5" spans="2:17" ht="22.8">
      <c r="B5" s="1467" t="s">
        <v>424</v>
      </c>
      <c r="C5" s="1467"/>
      <c r="D5" s="1467"/>
      <c r="E5" s="1467"/>
      <c r="F5" s="1467"/>
      <c r="G5" s="1467"/>
      <c r="H5" s="1467"/>
    </row>
    <row r="6" spans="2:17" ht="22.8">
      <c r="B6" s="1467" t="str">
        <f>"TRIAL  BALANCE - "&amp;UPPER('KEY INPUTS'!D55)&amp;"  UTILITY  FUND (cont'd)"</f>
        <v>TRIAL  BALANCE - SEWER  UTILITY  FUND (cont'd)</v>
      </c>
      <c r="C6" s="1467"/>
      <c r="D6" s="1467"/>
      <c r="E6" s="1467"/>
      <c r="F6" s="1467"/>
      <c r="G6" s="1467"/>
      <c r="H6" s="1467"/>
    </row>
    <row r="7" spans="2:17" ht="15.6">
      <c r="B7" s="1468" t="str">
        <f>IF('KEY INPUTS'!C42 = "State Fiscal Year", 'KEY INPUTS'!F45,'KEY INPUTS'!D45)</f>
        <v>AS  AT  DECEMBER  31, 2024</v>
      </c>
      <c r="C7" s="1469"/>
      <c r="D7" s="1469"/>
      <c r="E7" s="1469"/>
      <c r="F7" s="1469"/>
      <c r="G7" s="1469"/>
      <c r="H7" s="1469"/>
    </row>
    <row r="8" spans="2:17" ht="15.6">
      <c r="B8" s="1465" t="s">
        <v>450</v>
      </c>
      <c r="C8" s="1465"/>
      <c r="D8" s="1465"/>
      <c r="E8" s="1465"/>
      <c r="F8" s="1465"/>
      <c r="G8" s="1465"/>
      <c r="H8" s="1465"/>
    </row>
    <row r="9" spans="2:17">
      <c r="B9" s="1461" t="s">
        <v>70</v>
      </c>
      <c r="C9" s="1461"/>
      <c r="D9" s="1461"/>
      <c r="E9" s="1461"/>
      <c r="F9" s="1461"/>
      <c r="G9" s="1461"/>
      <c r="H9" s="1461"/>
    </row>
    <row r="10" spans="2:17" ht="15" customHeight="1" thickBot="1">
      <c r="B10" s="1462" t="s">
        <v>71</v>
      </c>
      <c r="C10" s="1462"/>
      <c r="D10" s="1462"/>
      <c r="E10" s="1462"/>
      <c r="F10" s="1462"/>
      <c r="G10" s="1462"/>
      <c r="H10" s="1462"/>
    </row>
    <row r="11" spans="2:17" ht="36" customHeight="1" thickTop="1" thickBot="1">
      <c r="B11" s="1463" t="s">
        <v>95</v>
      </c>
      <c r="C11" s="1463"/>
      <c r="D11" s="1463"/>
      <c r="E11" s="1463"/>
      <c r="F11" s="1464"/>
      <c r="G11" s="873" t="s">
        <v>96</v>
      </c>
      <c r="H11" s="874" t="s">
        <v>97</v>
      </c>
    </row>
    <row r="12" spans="2:17" ht="21" customHeight="1" thickTop="1">
      <c r="B12" s="513"/>
      <c r="C12" s="513"/>
      <c r="D12" s="513"/>
      <c r="E12" s="513"/>
      <c r="F12" s="513"/>
      <c r="G12" s="875"/>
      <c r="H12" s="876"/>
    </row>
    <row r="13" spans="2:17" ht="21" customHeight="1">
      <c r="B13" s="877" t="s">
        <v>642</v>
      </c>
      <c r="C13" s="878"/>
      <c r="D13" s="878"/>
      <c r="E13" s="878"/>
      <c r="F13" s="878"/>
      <c r="G13" s="879"/>
      <c r="H13" s="880"/>
      <c r="K13"/>
      <c r="L13"/>
      <c r="M13"/>
      <c r="N13"/>
      <c r="O13"/>
      <c r="P13"/>
      <c r="Q13"/>
    </row>
    <row r="14" spans="2:17" ht="21" customHeight="1">
      <c r="B14" s="878"/>
      <c r="C14" s="878"/>
      <c r="D14" s="878"/>
      <c r="E14" s="878"/>
      <c r="F14" s="878"/>
      <c r="G14" s="879"/>
      <c r="H14" s="880"/>
      <c r="K14"/>
      <c r="L14"/>
      <c r="M14"/>
      <c r="N14"/>
      <c r="O14"/>
      <c r="P14"/>
      <c r="Q14"/>
    </row>
    <row r="15" spans="2:17" ht="21" customHeight="1">
      <c r="B15" s="267" t="s">
        <v>192</v>
      </c>
      <c r="C15" s="248"/>
      <c r="D15" s="248"/>
      <c r="E15" s="248"/>
      <c r="F15" s="248"/>
      <c r="G15" s="289"/>
      <c r="H15" s="232" t="s">
        <v>627</v>
      </c>
      <c r="K15" s="294"/>
      <c r="L15"/>
      <c r="M15"/>
      <c r="N15"/>
      <c r="O15"/>
      <c r="P15"/>
      <c r="Q15"/>
    </row>
    <row r="16" spans="2:17" ht="21" customHeight="1">
      <c r="B16" s="248" t="s">
        <v>193</v>
      </c>
      <c r="C16" s="248"/>
      <c r="D16" s="248"/>
      <c r="E16" s="248"/>
      <c r="F16" s="248"/>
      <c r="G16" s="254" t="s">
        <v>627</v>
      </c>
      <c r="H16" s="255">
        <f>+G15</f>
        <v>0</v>
      </c>
      <c r="K16"/>
      <c r="L16"/>
      <c r="M16"/>
      <c r="N16"/>
      <c r="O16"/>
      <c r="P16"/>
      <c r="Q16"/>
    </row>
    <row r="17" spans="2:17" ht="21" customHeight="1">
      <c r="B17" s="248"/>
      <c r="C17" s="248"/>
      <c r="D17" s="248"/>
      <c r="E17" s="248"/>
      <c r="F17" s="248"/>
      <c r="G17" s="272"/>
      <c r="H17" s="255"/>
      <c r="K17"/>
      <c r="L17"/>
      <c r="M17"/>
      <c r="N17"/>
      <c r="O17"/>
      <c r="P17"/>
      <c r="Q17"/>
    </row>
    <row r="18" spans="2:17" ht="21" customHeight="1">
      <c r="B18" s="248"/>
      <c r="C18" s="248" t="s">
        <v>351</v>
      </c>
      <c r="D18" s="248"/>
      <c r="E18" s="248"/>
      <c r="F18" s="248"/>
      <c r="G18" s="289">
        <f>710848.5+637174.21</f>
        <v>1348022.71</v>
      </c>
      <c r="H18" s="419"/>
      <c r="K18"/>
      <c r="L18"/>
      <c r="M18"/>
      <c r="N18"/>
      <c r="O18"/>
      <c r="P18"/>
      <c r="Q18"/>
    </row>
    <row r="19" spans="2:17" ht="21" customHeight="1">
      <c r="B19" s="248"/>
      <c r="C19" s="494"/>
      <c r="D19" s="495"/>
      <c r="E19" s="495"/>
      <c r="F19" s="495"/>
      <c r="G19" s="289"/>
      <c r="H19" s="419"/>
      <c r="K19"/>
      <c r="L19"/>
      <c r="M19"/>
      <c r="N19"/>
      <c r="O19"/>
      <c r="P19"/>
      <c r="Q19"/>
    </row>
    <row r="20" spans="2:17" ht="21" customHeight="1">
      <c r="B20" s="248"/>
      <c r="C20" s="248" t="s">
        <v>888</v>
      </c>
      <c r="D20" s="248"/>
      <c r="E20" s="248"/>
      <c r="F20" s="248"/>
      <c r="G20" s="289"/>
      <c r="H20" s="419"/>
      <c r="K20"/>
      <c r="L20"/>
      <c r="M20"/>
      <c r="N20"/>
      <c r="O20"/>
      <c r="P20"/>
      <c r="Q20"/>
    </row>
    <row r="21" spans="2:17" ht="21" customHeight="1">
      <c r="B21" s="248"/>
      <c r="C21" s="248" t="s">
        <v>643</v>
      </c>
      <c r="D21" s="248"/>
      <c r="E21" s="248"/>
      <c r="F21" s="248"/>
      <c r="G21" s="272"/>
      <c r="H21" s="280"/>
      <c r="K21"/>
      <c r="L21"/>
      <c r="M21"/>
      <c r="N21"/>
      <c r="O21"/>
      <c r="P21"/>
      <c r="Q21"/>
    </row>
    <row r="22" spans="2:17" ht="21" customHeight="1">
      <c r="B22" s="248"/>
      <c r="C22" s="248"/>
      <c r="D22" s="248" t="s">
        <v>87</v>
      </c>
      <c r="E22" s="248"/>
      <c r="F22" s="248"/>
      <c r="G22" s="289">
        <v>3856356.47</v>
      </c>
      <c r="H22" s="419"/>
      <c r="K22"/>
      <c r="L22"/>
      <c r="M22"/>
      <c r="N22"/>
      <c r="O22"/>
      <c r="P22"/>
      <c r="Q22"/>
    </row>
    <row r="23" spans="2:17" ht="21" customHeight="1">
      <c r="B23" s="248"/>
      <c r="C23" s="248"/>
      <c r="D23" s="248" t="s">
        <v>671</v>
      </c>
      <c r="E23" s="248"/>
      <c r="F23" s="248"/>
      <c r="G23" s="289">
        <v>4662500</v>
      </c>
      <c r="H23" s="419"/>
      <c r="K23"/>
      <c r="L23"/>
      <c r="M23"/>
      <c r="N23"/>
      <c r="O23"/>
      <c r="P23"/>
      <c r="Q23"/>
    </row>
    <row r="24" spans="2:17" ht="21" customHeight="1">
      <c r="B24" s="248"/>
      <c r="C24" s="495"/>
      <c r="D24" s="495" t="s">
        <v>3131</v>
      </c>
      <c r="E24" s="495"/>
      <c r="F24" s="495"/>
      <c r="G24" s="289"/>
      <c r="H24" s="438"/>
      <c r="K24"/>
      <c r="L24"/>
      <c r="M24"/>
      <c r="N24"/>
      <c r="O24"/>
      <c r="P24"/>
      <c r="Q24"/>
    </row>
    <row r="25" spans="2:17" ht="21" customHeight="1">
      <c r="B25" s="248"/>
      <c r="C25" s="495"/>
      <c r="D25" s="495" t="s">
        <v>3131</v>
      </c>
      <c r="E25" s="495"/>
      <c r="F25" s="495"/>
      <c r="G25" s="289"/>
      <c r="H25" s="438" t="s">
        <v>3131</v>
      </c>
    </row>
    <row r="26" spans="2:17" ht="21" customHeight="1">
      <c r="B26" s="248"/>
      <c r="C26" s="496"/>
      <c r="D26" s="495"/>
      <c r="E26" s="495"/>
      <c r="F26" s="495"/>
      <c r="G26" s="289"/>
      <c r="H26" s="498"/>
    </row>
    <row r="27" spans="2:17" ht="21" customHeight="1">
      <c r="B27" s="248"/>
      <c r="C27" s="495" t="s">
        <v>3131</v>
      </c>
      <c r="D27" s="495"/>
      <c r="E27" s="495"/>
      <c r="F27" s="495"/>
      <c r="G27" s="289"/>
      <c r="H27" s="438" t="s">
        <v>3131</v>
      </c>
    </row>
    <row r="28" spans="2:17" ht="21" customHeight="1">
      <c r="B28" s="248"/>
      <c r="C28" s="495"/>
      <c r="D28" s="495"/>
      <c r="E28" s="495"/>
      <c r="F28" s="495"/>
      <c r="G28" s="289"/>
      <c r="H28" s="438"/>
    </row>
    <row r="29" spans="2:17" ht="21" customHeight="1">
      <c r="B29" s="248"/>
      <c r="C29" s="495"/>
      <c r="D29" s="495" t="s">
        <v>3131</v>
      </c>
      <c r="E29" s="495"/>
      <c r="F29" s="495"/>
      <c r="G29" s="289"/>
      <c r="H29" s="438"/>
      <c r="K29"/>
      <c r="L29"/>
      <c r="M29"/>
      <c r="N29"/>
      <c r="O29"/>
      <c r="P29"/>
      <c r="Q29"/>
    </row>
    <row r="30" spans="2:17" ht="21" customHeight="1">
      <c r="B30" s="248"/>
      <c r="C30" s="495"/>
      <c r="D30" s="495" t="s">
        <v>3131</v>
      </c>
      <c r="E30" s="495"/>
      <c r="F30" s="495"/>
      <c r="G30" s="289"/>
      <c r="H30" s="438"/>
      <c r="K30"/>
      <c r="L30"/>
      <c r="M30"/>
      <c r="N30"/>
      <c r="O30"/>
      <c r="P30"/>
      <c r="Q30"/>
    </row>
    <row r="31" spans="2:17" ht="21" customHeight="1">
      <c r="B31" s="248"/>
      <c r="C31" s="495"/>
      <c r="D31" s="495" t="s">
        <v>3131</v>
      </c>
      <c r="E31" s="495"/>
      <c r="F31" s="495"/>
      <c r="G31" s="289"/>
      <c r="H31" s="438" t="s">
        <v>3131</v>
      </c>
    </row>
    <row r="32" spans="2:17" ht="21" customHeight="1">
      <c r="B32" s="248"/>
      <c r="C32" s="496"/>
      <c r="D32" s="495"/>
      <c r="E32" s="495"/>
      <c r="F32" s="495"/>
      <c r="G32" s="289"/>
      <c r="H32" s="498"/>
    </row>
    <row r="33" spans="2:17" ht="21" customHeight="1">
      <c r="B33" s="248"/>
      <c r="C33" s="495" t="s">
        <v>3131</v>
      </c>
      <c r="D33" s="495"/>
      <c r="E33" s="495"/>
      <c r="F33" s="495"/>
      <c r="G33" s="289"/>
      <c r="H33" s="438" t="s">
        <v>3131</v>
      </c>
    </row>
    <row r="34" spans="2:17" ht="21" customHeight="1">
      <c r="B34" s="248"/>
      <c r="C34" s="495"/>
      <c r="D34" s="495"/>
      <c r="E34" s="495"/>
      <c r="F34" s="495"/>
      <c r="G34" s="289"/>
      <c r="H34" s="438"/>
    </row>
    <row r="35" spans="2:17" ht="21" customHeight="1">
      <c r="B35" s="248"/>
      <c r="C35" s="495"/>
      <c r="D35" s="495" t="s">
        <v>3131</v>
      </c>
      <c r="E35" s="495"/>
      <c r="F35" s="495"/>
      <c r="G35" s="289"/>
      <c r="H35" s="438"/>
      <c r="K35"/>
      <c r="L35"/>
      <c r="M35"/>
      <c r="N35"/>
      <c r="O35"/>
      <c r="P35"/>
      <c r="Q35"/>
    </row>
    <row r="36" spans="2:17" ht="21" customHeight="1">
      <c r="B36" s="248"/>
      <c r="C36" s="495"/>
      <c r="D36" s="495" t="s">
        <v>3131</v>
      </c>
      <c r="E36" s="495"/>
      <c r="F36" s="495"/>
      <c r="G36" s="289"/>
      <c r="H36" s="438" t="s">
        <v>3131</v>
      </c>
    </row>
    <row r="37" spans="2:17" ht="21" customHeight="1">
      <c r="B37" s="248"/>
      <c r="C37" s="496"/>
      <c r="D37" s="495"/>
      <c r="E37" s="495"/>
      <c r="F37" s="495"/>
      <c r="G37" s="289"/>
      <c r="H37" s="498"/>
    </row>
    <row r="38" spans="2:17" ht="21" customHeight="1">
      <c r="B38" s="248"/>
      <c r="C38" s="495" t="s">
        <v>3131</v>
      </c>
      <c r="D38" s="495"/>
      <c r="E38" s="495"/>
      <c r="F38" s="495"/>
      <c r="G38" s="289"/>
      <c r="H38" s="438" t="s">
        <v>3131</v>
      </c>
    </row>
    <row r="39" spans="2:17" ht="21" customHeight="1">
      <c r="B39" s="248"/>
      <c r="C39" s="495"/>
      <c r="D39" s="495"/>
      <c r="E39" s="495"/>
      <c r="F39" s="495"/>
      <c r="G39" s="289"/>
      <c r="H39" s="438"/>
    </row>
    <row r="40" spans="2:17" ht="21" customHeight="1">
      <c r="B40" s="248"/>
      <c r="C40" s="495"/>
      <c r="D40" s="495"/>
      <c r="E40" s="495"/>
      <c r="F40" s="495"/>
      <c r="G40" s="289"/>
      <c r="H40" s="438"/>
    </row>
    <row r="41" spans="2:17" ht="21" customHeight="1">
      <c r="B41" s="248"/>
      <c r="C41" s="495" t="s">
        <v>3131</v>
      </c>
      <c r="D41" s="495"/>
      <c r="E41" s="495"/>
      <c r="F41" s="495"/>
      <c r="G41" s="289"/>
      <c r="H41" s="438" t="s">
        <v>3131</v>
      </c>
    </row>
    <row r="42" spans="2:17" ht="21" customHeight="1">
      <c r="B42" s="248"/>
      <c r="C42" s="495" t="s">
        <v>3131</v>
      </c>
      <c r="D42" s="495"/>
      <c r="E42" s="495"/>
      <c r="F42" s="495"/>
      <c r="G42" s="289"/>
      <c r="H42" s="438" t="s">
        <v>3131</v>
      </c>
    </row>
    <row r="43" spans="2:17" ht="21" customHeight="1" thickBot="1">
      <c r="B43" s="248"/>
      <c r="C43" s="248"/>
      <c r="D43" s="248"/>
      <c r="E43" s="248"/>
      <c r="F43" s="248"/>
      <c r="G43" s="256"/>
      <c r="H43" s="306"/>
      <c r="I43" s="301"/>
      <c r="M43" s="301"/>
    </row>
    <row r="44" spans="2:17" ht="21" customHeight="1" thickBot="1">
      <c r="B44" s="248"/>
      <c r="C44" s="248" t="s">
        <v>3262</v>
      </c>
      <c r="D44" s="248"/>
      <c r="E44" s="248"/>
      <c r="F44" s="248"/>
      <c r="G44" s="277">
        <f>SUM(G15:G42)</f>
        <v>9866879.1799999997</v>
      </c>
      <c r="H44" s="305">
        <f>SUM(H15:H43)</f>
        <v>0</v>
      </c>
      <c r="I44" s="301"/>
      <c r="K44" s="301"/>
    </row>
    <row r="45" spans="2:17" ht="13.8" thickTop="1">
      <c r="B45" s="1361" t="s">
        <v>98</v>
      </c>
      <c r="C45" s="1361"/>
      <c r="D45" s="1361"/>
      <c r="E45" s="1361"/>
      <c r="F45" s="1361"/>
      <c r="G45" s="1352"/>
      <c r="H45" s="1352"/>
    </row>
    <row r="46" spans="2:17">
      <c r="B46" s="302"/>
      <c r="C46" s="302"/>
      <c r="D46" s="302"/>
      <c r="E46" s="302"/>
      <c r="F46" s="302"/>
      <c r="G46" s="302"/>
      <c r="H46" s="302"/>
    </row>
    <row r="47" spans="2:17">
      <c r="B47" s="302"/>
      <c r="C47" s="302"/>
      <c r="D47" s="302"/>
      <c r="E47" s="302"/>
      <c r="F47" s="302"/>
      <c r="G47" s="302"/>
      <c r="H47" s="302"/>
    </row>
    <row r="48" spans="2:17">
      <c r="B48" s="302"/>
      <c r="C48" s="302"/>
      <c r="D48" s="302"/>
      <c r="E48" s="302"/>
      <c r="F48" s="302"/>
      <c r="G48" s="302"/>
      <c r="H48" s="302"/>
    </row>
    <row r="49" spans="2:8">
      <c r="B49" s="302"/>
      <c r="C49" s="302"/>
      <c r="D49" s="302"/>
      <c r="E49" s="302"/>
      <c r="F49" s="302"/>
      <c r="G49" s="302"/>
      <c r="H49" s="302"/>
    </row>
    <row r="50" spans="2:8" ht="13.8">
      <c r="B50" s="1353" t="s">
        <v>3136</v>
      </c>
      <c r="C50" s="1353"/>
      <c r="D50" s="1353"/>
      <c r="E50" s="1353"/>
      <c r="F50" s="1353"/>
      <c r="G50" s="1353"/>
      <c r="H50" s="1353"/>
    </row>
    <row r="55" spans="2:8">
      <c r="H55" s="301"/>
    </row>
  </sheetData>
  <sheetProtection algorithmName="SHA-512" hashValue="SKBGaTYovnoL8SmAjSx6aAI3KLOr5PzFFOEVY47oVVg/GwWk+7wk5rP9w9D3G6z14sfhVqsVH5Lx6J9kw9xC1g==" saltValue="o4hW4VCrbdjlapeHLbnbyg=="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scale="76" orientation="portrait"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6B9C3-516A-40CA-B131-F854AE718998}">
  <sheetPr codeName="Sheet180">
    <tabColor theme="3" tint="0.39997558519241921"/>
    <pageSetUpPr fitToPage="1"/>
  </sheetPr>
  <dimension ref="B2:Q55"/>
  <sheetViews>
    <sheetView topLeftCell="A27" zoomScaleNormal="100" zoomScaleSheetLayoutView="80" workbookViewId="0">
      <selection activeCell="G26" sqref="G26"/>
    </sheetView>
  </sheetViews>
  <sheetFormatPr defaultColWidth="8.88671875" defaultRowHeight="13.2"/>
  <cols>
    <col min="1" max="1" width="4.6640625" style="267" customWidth="1"/>
    <col min="2" max="2" width="4.88671875" style="267" customWidth="1"/>
    <col min="3" max="4" width="4.6640625" style="267" customWidth="1"/>
    <col min="5" max="5" width="34.33203125" style="267" customWidth="1"/>
    <col min="6" max="6" width="15.6640625" style="267" customWidth="1"/>
    <col min="7" max="8" width="16.6640625" style="267" customWidth="1"/>
    <col min="9" max="9" width="10.88671875" style="267" bestFit="1" customWidth="1"/>
    <col min="10" max="10" width="8.88671875" style="267"/>
    <col min="11" max="11" width="10.33203125" style="267" bestFit="1" customWidth="1"/>
    <col min="12" max="12" width="8.88671875" style="267"/>
    <col min="13" max="13" width="13.88671875" style="267" bestFit="1" customWidth="1"/>
    <col min="14" max="16384" width="8.88671875" style="267"/>
  </cols>
  <sheetData>
    <row r="2" spans="2:17">
      <c r="B2" s="1357" t="s">
        <v>35</v>
      </c>
      <c r="C2" s="1357"/>
      <c r="D2" s="1357"/>
      <c r="E2" s="1357"/>
      <c r="F2" s="1357"/>
      <c r="G2" s="1357"/>
      <c r="H2" s="1357"/>
    </row>
    <row r="3" spans="2:17">
      <c r="B3" s="1357" t="s">
        <v>449</v>
      </c>
      <c r="C3" s="1357"/>
      <c r="D3" s="1357"/>
      <c r="E3" s="1357"/>
      <c r="F3" s="1357"/>
      <c r="G3" s="1357"/>
      <c r="H3" s="1357"/>
    </row>
    <row r="5" spans="2:17" ht="22.8">
      <c r="B5" s="1358" t="s">
        <v>424</v>
      </c>
      <c r="C5" s="1358"/>
      <c r="D5" s="1358"/>
      <c r="E5" s="1358"/>
      <c r="F5" s="1358"/>
      <c r="G5" s="1358"/>
      <c r="H5" s="1358"/>
    </row>
    <row r="6" spans="2:17" ht="22.8">
      <c r="B6" s="1358" t="str">
        <f>"TRIAL  BALANCE - "&amp;UPPER('KEY INPUTS'!D55)&amp;"  UTILITY  FUND (cont'd)"</f>
        <v>TRIAL  BALANCE - SEWER  UTILITY  FUND (cont'd)</v>
      </c>
      <c r="C6" s="1358"/>
      <c r="D6" s="1358"/>
      <c r="E6" s="1358"/>
      <c r="F6" s="1358"/>
      <c r="G6" s="1358"/>
      <c r="H6" s="1358"/>
    </row>
    <row r="7" spans="2:17" ht="15.6">
      <c r="B7" s="1359" t="str">
        <f>IF('KEY INPUTS'!C42 = "State Fiscal Year", 'KEY INPUTS'!F45,'KEY INPUTS'!D45)</f>
        <v>AS  AT  DECEMBER  31, 2024</v>
      </c>
      <c r="C7" s="1360"/>
      <c r="D7" s="1360"/>
      <c r="E7" s="1360"/>
      <c r="F7" s="1360"/>
      <c r="G7" s="1360"/>
      <c r="H7" s="1360"/>
    </row>
    <row r="8" spans="2:17" ht="15.6">
      <c r="B8" s="1354" t="s">
        <v>450</v>
      </c>
      <c r="C8" s="1354"/>
      <c r="D8" s="1354"/>
      <c r="E8" s="1354"/>
      <c r="F8" s="1354"/>
      <c r="G8" s="1354"/>
      <c r="H8" s="1354"/>
    </row>
    <row r="9" spans="2:17">
      <c r="B9" s="1355" t="s">
        <v>70</v>
      </c>
      <c r="C9" s="1355"/>
      <c r="D9" s="1355"/>
      <c r="E9" s="1355"/>
      <c r="F9" s="1355"/>
      <c r="G9" s="1355"/>
      <c r="H9" s="1355"/>
    </row>
    <row r="10" spans="2:17" ht="15" customHeight="1" thickBot="1">
      <c r="B10" s="1356" t="s">
        <v>71</v>
      </c>
      <c r="C10" s="1356"/>
      <c r="D10" s="1356"/>
      <c r="E10" s="1356"/>
      <c r="F10" s="1356"/>
      <c r="G10" s="1356"/>
      <c r="H10" s="1356"/>
    </row>
    <row r="11" spans="2:17" ht="36" customHeight="1" thickTop="1" thickBot="1">
      <c r="B11" s="1350" t="s">
        <v>95</v>
      </c>
      <c r="C11" s="1350"/>
      <c r="D11" s="1350"/>
      <c r="E11" s="1350"/>
      <c r="F11" s="1351"/>
      <c r="G11" s="304" t="s">
        <v>96</v>
      </c>
      <c r="H11" s="308" t="s">
        <v>97</v>
      </c>
    </row>
    <row r="12" spans="2:17" ht="21" customHeight="1" thickTop="1">
      <c r="B12" s="248"/>
      <c r="C12" s="248" t="s">
        <v>3263</v>
      </c>
      <c r="D12" s="248"/>
      <c r="E12" s="248"/>
      <c r="F12" s="248"/>
      <c r="G12" s="663">
        <f>'41a-Utility2'!G44</f>
        <v>9866879.1799999997</v>
      </c>
      <c r="H12" s="668">
        <f>'41a-Utility2'!H44</f>
        <v>0</v>
      </c>
    </row>
    <row r="13" spans="2:17" ht="21" customHeight="1">
      <c r="C13" s="496"/>
      <c r="D13" s="496"/>
      <c r="E13" s="496"/>
      <c r="F13" s="496"/>
      <c r="G13" s="450"/>
      <c r="H13" s="498"/>
    </row>
    <row r="14" spans="2:17" ht="21" customHeight="1">
      <c r="B14" s="307"/>
      <c r="C14" s="495"/>
      <c r="D14" s="495"/>
      <c r="E14" s="495"/>
      <c r="F14" s="495"/>
      <c r="G14" s="450"/>
      <c r="H14" s="457"/>
      <c r="K14"/>
      <c r="L14"/>
      <c r="M14"/>
      <c r="N14"/>
      <c r="O14"/>
      <c r="P14"/>
      <c r="Q14"/>
    </row>
    <row r="15" spans="2:17" ht="21" customHeight="1">
      <c r="B15" s="248"/>
      <c r="C15" s="495"/>
      <c r="D15" s="495"/>
      <c r="E15" s="495"/>
      <c r="F15" s="495"/>
      <c r="G15" s="450"/>
      <c r="H15" s="457"/>
      <c r="K15"/>
      <c r="L15"/>
      <c r="M15"/>
      <c r="N15"/>
      <c r="O15"/>
      <c r="P15"/>
      <c r="Q15"/>
    </row>
    <row r="16" spans="2:17" ht="21" customHeight="1">
      <c r="B16" s="248"/>
      <c r="C16" s="495"/>
      <c r="D16" s="495"/>
      <c r="E16" s="495"/>
      <c r="F16" s="495"/>
      <c r="G16" s="289"/>
      <c r="H16" s="438"/>
      <c r="K16"/>
      <c r="L16"/>
      <c r="M16"/>
      <c r="N16"/>
      <c r="O16"/>
      <c r="P16"/>
      <c r="Q16"/>
    </row>
    <row r="17" spans="2:17" ht="21" customHeight="1">
      <c r="B17" s="248"/>
      <c r="C17" s="248" t="s">
        <v>3139</v>
      </c>
      <c r="D17" s="248"/>
      <c r="E17" s="248"/>
      <c r="F17" s="248"/>
      <c r="G17" s="663"/>
      <c r="H17" s="668">
        <f>+'49-Utility2'!G22</f>
        <v>0</v>
      </c>
      <c r="K17"/>
      <c r="L17"/>
      <c r="M17"/>
      <c r="N17"/>
      <c r="O17"/>
      <c r="P17"/>
      <c r="Q17"/>
    </row>
    <row r="18" spans="2:17" ht="21" customHeight="1">
      <c r="B18" s="248"/>
      <c r="C18" s="248" t="s">
        <v>3383</v>
      </c>
      <c r="D18" s="248"/>
      <c r="E18" s="248"/>
      <c r="F18" s="248"/>
      <c r="G18" s="663"/>
      <c r="H18" s="668">
        <f>'49a-Utility2'!G11+'49a-Utility2'!G22+'49a.1-Utility2'!G11+'49a.1-Utility2'!G22</f>
        <v>3715903</v>
      </c>
    </row>
    <row r="19" spans="2:17" ht="21" customHeight="1">
      <c r="B19" s="248"/>
      <c r="C19" s="248" t="s">
        <v>3392</v>
      </c>
      <c r="D19" s="248"/>
      <c r="E19" s="248"/>
      <c r="F19" s="248"/>
      <c r="G19" s="663"/>
      <c r="H19" s="668">
        <f>+'51a-Utility2'!G23</f>
        <v>0</v>
      </c>
      <c r="K19"/>
      <c r="L19"/>
      <c r="M19"/>
      <c r="N19"/>
      <c r="O19"/>
      <c r="P19"/>
      <c r="Q19"/>
    </row>
    <row r="20" spans="2:17" ht="21" customHeight="1">
      <c r="B20" s="248"/>
      <c r="C20" s="248" t="s">
        <v>3138</v>
      </c>
      <c r="D20" s="248"/>
      <c r="E20" s="248"/>
      <c r="F20" s="248"/>
      <c r="G20" s="663"/>
      <c r="H20" s="668">
        <f>+'50.1-Utility2'!G18</f>
        <v>0</v>
      </c>
      <c r="K20"/>
      <c r="L20"/>
      <c r="M20"/>
      <c r="N20"/>
      <c r="O20"/>
      <c r="P20"/>
      <c r="Q20"/>
    </row>
    <row r="21" spans="2:17" ht="21" customHeight="1">
      <c r="B21" s="248"/>
      <c r="C21" s="248" t="s">
        <v>802</v>
      </c>
      <c r="D21" s="248"/>
      <c r="E21" s="248"/>
      <c r="F21" s="248"/>
      <c r="G21" s="663"/>
      <c r="H21" s="668" t="s">
        <v>3131</v>
      </c>
      <c r="K21"/>
      <c r="L21"/>
      <c r="M21"/>
      <c r="N21"/>
      <c r="O21"/>
      <c r="P21"/>
      <c r="Q21"/>
    </row>
    <row r="22" spans="2:17" ht="21" customHeight="1">
      <c r="B22" s="248"/>
      <c r="C22" s="248"/>
      <c r="D22" s="248" t="s">
        <v>799</v>
      </c>
      <c r="E22" s="248"/>
      <c r="F22" s="248"/>
      <c r="G22" s="663"/>
      <c r="H22" s="668">
        <f>+'52-Totals-Utility2'!K27</f>
        <v>3103</v>
      </c>
      <c r="J22" s="301"/>
      <c r="K22"/>
      <c r="L22"/>
      <c r="M22"/>
      <c r="N22"/>
      <c r="O22"/>
      <c r="P22"/>
      <c r="Q22"/>
    </row>
    <row r="23" spans="2:17" ht="21" customHeight="1">
      <c r="B23" s="248"/>
      <c r="C23" s="248"/>
      <c r="D23" s="248" t="s">
        <v>800</v>
      </c>
      <c r="E23" s="248"/>
      <c r="F23" s="248"/>
      <c r="G23" s="663"/>
      <c r="H23" s="668">
        <f>+'52-Totals-Utility2'!L27</f>
        <v>533807.05000000005</v>
      </c>
      <c r="J23" s="301"/>
      <c r="K23"/>
      <c r="L23"/>
      <c r="M23"/>
      <c r="N23"/>
      <c r="O23"/>
      <c r="P23"/>
      <c r="Q23"/>
    </row>
    <row r="24" spans="2:17" ht="21" customHeight="1">
      <c r="B24" s="248"/>
      <c r="C24" s="495" t="s">
        <v>3137</v>
      </c>
      <c r="D24" s="495"/>
      <c r="E24" s="495"/>
      <c r="F24" s="495"/>
      <c r="G24" s="289"/>
      <c r="H24" s="419"/>
    </row>
    <row r="25" spans="2:17" ht="21" customHeight="1">
      <c r="B25" s="248"/>
      <c r="C25" s="495" t="s">
        <v>674</v>
      </c>
      <c r="D25" s="495"/>
      <c r="E25" s="495"/>
      <c r="F25" s="495"/>
      <c r="G25" s="289"/>
      <c r="H25" s="419"/>
    </row>
    <row r="26" spans="2:17" ht="21" customHeight="1">
      <c r="B26" s="248"/>
      <c r="C26" s="495" t="str">
        <f>"DUE TO "&amp;UPPER('KEY INPUTS'!D54)&amp;" OPERATING"</f>
        <v>DUE TO WATER OPERATING</v>
      </c>
      <c r="D26" s="495"/>
      <c r="E26" s="495"/>
      <c r="F26" s="495"/>
      <c r="G26" s="289"/>
      <c r="H26" s="419"/>
    </row>
    <row r="27" spans="2:17" ht="21" customHeight="1">
      <c r="B27" s="248"/>
      <c r="C27" s="495" t="s">
        <v>673</v>
      </c>
      <c r="D27" s="495"/>
      <c r="E27" s="495"/>
      <c r="F27" s="495"/>
      <c r="G27" s="289"/>
      <c r="H27" s="419">
        <v>4775453.47</v>
      </c>
    </row>
    <row r="28" spans="2:17" ht="21" customHeight="1">
      <c r="B28" s="248"/>
      <c r="C28" s="495" t="s">
        <v>672</v>
      </c>
      <c r="D28" s="495"/>
      <c r="E28" s="495"/>
      <c r="F28" s="495"/>
      <c r="G28" s="289"/>
      <c r="H28" s="419">
        <v>27500</v>
      </c>
    </row>
    <row r="29" spans="2:17" ht="21" customHeight="1">
      <c r="B29" s="248"/>
      <c r="C29" s="495" t="s">
        <v>287</v>
      </c>
      <c r="D29" s="495"/>
      <c r="E29" s="495"/>
      <c r="F29" s="495"/>
      <c r="G29" s="289"/>
      <c r="H29" s="419"/>
    </row>
    <row r="30" spans="2:17" ht="21" customHeight="1">
      <c r="B30" s="248"/>
      <c r="C30" s="495" t="s">
        <v>3693</v>
      </c>
      <c r="D30" s="495"/>
      <c r="E30" s="495"/>
      <c r="F30" s="495"/>
      <c r="G30" s="289"/>
      <c r="H30" s="438">
        <v>51566.94</v>
      </c>
    </row>
    <row r="31" spans="2:17" ht="21" customHeight="1">
      <c r="B31" s="248"/>
      <c r="C31" s="495" t="s">
        <v>3681</v>
      </c>
      <c r="D31" s="495"/>
      <c r="E31" s="495"/>
      <c r="F31" s="495"/>
      <c r="G31" s="289"/>
      <c r="H31" s="438">
        <v>680384.47</v>
      </c>
    </row>
    <row r="32" spans="2:17" ht="21" customHeight="1">
      <c r="B32" s="248"/>
      <c r="C32" s="495"/>
      <c r="D32" s="495"/>
      <c r="E32" s="495"/>
      <c r="F32" s="495"/>
      <c r="G32" s="289"/>
      <c r="H32" s="498"/>
    </row>
    <row r="33" spans="2:13" ht="21" customHeight="1">
      <c r="B33" s="248"/>
      <c r="C33" s="495"/>
      <c r="D33" s="495"/>
      <c r="E33" s="495"/>
      <c r="F33" s="495"/>
      <c r="G33" s="289"/>
      <c r="H33" s="438" t="s">
        <v>3131</v>
      </c>
    </row>
    <row r="34" spans="2:13" ht="21" customHeight="1">
      <c r="B34" s="248"/>
      <c r="C34" s="495"/>
      <c r="D34" s="495"/>
      <c r="E34" s="495"/>
      <c r="F34" s="495"/>
      <c r="G34" s="289"/>
      <c r="H34" s="438"/>
    </row>
    <row r="35" spans="2:13" ht="21" customHeight="1">
      <c r="B35" s="248"/>
      <c r="C35" s="495"/>
      <c r="D35" s="495"/>
      <c r="E35" s="495"/>
      <c r="F35" s="495"/>
      <c r="G35" s="289"/>
      <c r="H35" s="438"/>
    </row>
    <row r="36" spans="2:13" ht="21" customHeight="1">
      <c r="B36" s="248"/>
      <c r="C36" s="495"/>
      <c r="D36" s="495"/>
      <c r="E36" s="495"/>
      <c r="F36" s="495"/>
      <c r="G36" s="289"/>
      <c r="H36" s="438" t="s">
        <v>3131</v>
      </c>
    </row>
    <row r="37" spans="2:13" ht="21" customHeight="1">
      <c r="B37" s="248"/>
      <c r="C37" s="495"/>
      <c r="D37" s="495"/>
      <c r="E37" s="495"/>
      <c r="F37" s="495"/>
      <c r="G37" s="289"/>
      <c r="H37" s="498"/>
    </row>
    <row r="38" spans="2:13" ht="21" customHeight="1">
      <c r="B38" s="248"/>
      <c r="C38" s="495"/>
      <c r="D38" s="495"/>
      <c r="E38" s="495"/>
      <c r="F38" s="495"/>
      <c r="G38" s="289"/>
      <c r="H38" s="438" t="s">
        <v>3131</v>
      </c>
    </row>
    <row r="39" spans="2:13" ht="21" customHeight="1">
      <c r="B39" s="248"/>
      <c r="C39" s="495"/>
      <c r="D39" s="495"/>
      <c r="E39" s="495"/>
      <c r="F39" s="495"/>
      <c r="G39" s="289"/>
      <c r="H39" s="438"/>
    </row>
    <row r="40" spans="2:13" ht="21" customHeight="1">
      <c r="B40" s="248"/>
      <c r="C40" s="248" t="s">
        <v>3199</v>
      </c>
      <c r="D40" s="248"/>
      <c r="E40" s="248"/>
      <c r="F40" s="248"/>
      <c r="G40" s="663"/>
      <c r="H40" s="668">
        <f>+'53-Utility2'!I41</f>
        <v>0</v>
      </c>
    </row>
    <row r="41" spans="2:13" ht="21" customHeight="1">
      <c r="B41" s="248"/>
      <c r="C41" s="248" t="s">
        <v>803</v>
      </c>
      <c r="D41" s="248"/>
      <c r="E41" s="248"/>
      <c r="F41" s="248"/>
      <c r="G41" s="663"/>
      <c r="H41" s="668">
        <f>+'53-Utility2'!I24</f>
        <v>48538.75</v>
      </c>
    </row>
    <row r="42" spans="2:13" ht="21" customHeight="1">
      <c r="B42" s="248"/>
      <c r="C42" s="248" t="s">
        <v>641</v>
      </c>
      <c r="D42" s="248"/>
      <c r="E42" s="248"/>
      <c r="F42" s="248"/>
      <c r="G42" s="663"/>
      <c r="H42" s="668">
        <f>+'54-Utility2'!I42</f>
        <v>30622.5</v>
      </c>
    </row>
    <row r="43" spans="2:13" ht="21" customHeight="1" thickBot="1">
      <c r="B43" s="248"/>
      <c r="C43" s="248"/>
      <c r="D43" s="248"/>
      <c r="E43" s="248"/>
      <c r="F43" s="248"/>
      <c r="G43" s="881"/>
      <c r="H43" s="882"/>
      <c r="I43" s="301"/>
      <c r="M43" s="301"/>
    </row>
    <row r="44" spans="2:13" ht="21" customHeight="1" thickBot="1">
      <c r="B44" s="248"/>
      <c r="C44" s="248" t="s">
        <v>798</v>
      </c>
      <c r="D44" s="248"/>
      <c r="E44" s="248"/>
      <c r="F44" s="248"/>
      <c r="G44" s="883">
        <f>SUM(G12:G42)</f>
        <v>9866879.1799999997</v>
      </c>
      <c r="H44" s="884">
        <f>SUM(H12:H43)</f>
        <v>9866879.1799999997</v>
      </c>
      <c r="I44" s="301"/>
      <c r="K44" s="301"/>
    </row>
    <row r="45" spans="2:13" ht="13.8" thickTop="1">
      <c r="B45" s="1361" t="s">
        <v>98</v>
      </c>
      <c r="C45" s="1361"/>
      <c r="D45" s="1361"/>
      <c r="E45" s="1361"/>
      <c r="F45" s="1361"/>
      <c r="G45" s="1352"/>
      <c r="H45" s="1352"/>
    </row>
    <row r="46" spans="2:13">
      <c r="B46" s="302"/>
      <c r="C46" s="302"/>
      <c r="D46" s="302"/>
      <c r="E46" s="302"/>
      <c r="F46" s="302"/>
      <c r="G46" s="302"/>
      <c r="H46" s="302"/>
    </row>
    <row r="47" spans="2:13">
      <c r="B47" s="302"/>
      <c r="C47" s="302"/>
      <c r="D47" s="302"/>
      <c r="E47" s="302"/>
      <c r="F47" s="302"/>
      <c r="G47" s="302"/>
      <c r="H47" s="302"/>
    </row>
    <row r="48" spans="2:13">
      <c r="B48" s="302"/>
      <c r="C48" s="302"/>
      <c r="D48" s="302"/>
      <c r="E48" s="302"/>
      <c r="F48" s="302"/>
      <c r="G48" s="302"/>
      <c r="H48" s="302"/>
    </row>
    <row r="49" spans="2:8">
      <c r="B49" s="302"/>
      <c r="C49" s="302"/>
      <c r="D49" s="302"/>
      <c r="E49" s="302"/>
      <c r="F49" s="302"/>
      <c r="G49" s="302"/>
      <c r="H49" s="302"/>
    </row>
    <row r="50" spans="2:8" ht="13.8">
      <c r="B50" s="1353" t="s">
        <v>3394</v>
      </c>
      <c r="C50" s="1353"/>
      <c r="D50" s="1353"/>
      <c r="E50" s="1353"/>
      <c r="F50" s="1353"/>
      <c r="G50" s="1353"/>
      <c r="H50" s="1353"/>
    </row>
    <row r="55" spans="2:8">
      <c r="H55" s="301"/>
    </row>
  </sheetData>
  <sheetProtection algorithmName="SHA-512" hashValue="Gh5DSWvEAgTyCVG+OtCJB5M6gnZlD1X8nkOArK9sscQiGWyEM0nA89B6QnYZkbObVY3PrP9JV62uBZKY1ojdCA==" saltValue="1zmPIhFukS2f6RttcFX/Fw=="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scale="76"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ECC3D-A159-4814-A4C1-827253A2341C}">
  <sheetPr codeName="Sheet181">
    <tabColor theme="3" tint="0.39997558519241921"/>
  </sheetPr>
  <dimension ref="B3:R49"/>
  <sheetViews>
    <sheetView zoomScaleNormal="100" zoomScaleSheetLayoutView="80" workbookViewId="0">
      <selection activeCell="B10" sqref="B10:F10"/>
    </sheetView>
  </sheetViews>
  <sheetFormatPr defaultColWidth="9.109375" defaultRowHeight="13.2"/>
  <cols>
    <col min="1" max="1" width="4.6640625" style="267" customWidth="1"/>
    <col min="2" max="2" width="4.88671875" style="267" customWidth="1"/>
    <col min="3" max="4" width="4.6640625" style="267" customWidth="1"/>
    <col min="5" max="5" width="30.6640625" style="267" customWidth="1"/>
    <col min="6" max="6" width="15.6640625" style="267" customWidth="1"/>
    <col min="7" max="8" width="16.6640625" style="267" customWidth="1"/>
    <col min="9" max="16384" width="9.109375" style="267"/>
  </cols>
  <sheetData>
    <row r="3" spans="2:18" ht="22.8">
      <c r="B3" s="1358" t="s">
        <v>823</v>
      </c>
      <c r="C3" s="1358"/>
      <c r="D3" s="1358"/>
      <c r="E3" s="1358"/>
      <c r="F3" s="1358"/>
      <c r="G3" s="1358"/>
      <c r="H3" s="1358"/>
    </row>
    <row r="4" spans="2:18" ht="22.8">
      <c r="B4" s="1358" t="s">
        <v>824</v>
      </c>
      <c r="C4" s="1358"/>
      <c r="D4" s="1358"/>
      <c r="E4" s="1358"/>
      <c r="F4" s="1358"/>
      <c r="G4" s="1358"/>
      <c r="H4" s="1358"/>
    </row>
    <row r="5" spans="2:18" ht="15.6">
      <c r="B5" s="1360"/>
      <c r="C5" s="1360"/>
      <c r="D5" s="1360"/>
      <c r="E5" s="1360"/>
      <c r="F5" s="1360"/>
      <c r="G5" s="1360"/>
      <c r="H5" s="1360"/>
    </row>
    <row r="6" spans="2:18" ht="13.8">
      <c r="B6" s="1362" t="s">
        <v>825</v>
      </c>
      <c r="C6" s="1362"/>
      <c r="D6" s="1362"/>
      <c r="E6" s="1362"/>
      <c r="F6" s="1362"/>
      <c r="G6" s="1362"/>
      <c r="H6" s="1362"/>
    </row>
    <row r="7" spans="2:18" ht="13.8">
      <c r="B7" s="1362" t="s">
        <v>829</v>
      </c>
      <c r="C7" s="1362"/>
      <c r="D7" s="1362"/>
      <c r="E7" s="1362"/>
      <c r="F7" s="1362"/>
      <c r="G7" s="1362"/>
      <c r="H7" s="1362"/>
    </row>
    <row r="8" spans="2:18" ht="13.8">
      <c r="B8" s="787"/>
      <c r="C8" s="787"/>
      <c r="D8" s="787"/>
      <c r="E8" s="787"/>
      <c r="F8" s="787"/>
      <c r="G8" s="787"/>
      <c r="H8" s="787"/>
    </row>
    <row r="9" spans="2:18" ht="15" customHeight="1" thickBot="1">
      <c r="B9" s="1359" t="str">
        <f>IF('KEY INPUTS'!C42 = "State Fiscal Year", 'KEY INPUTS'!F45,'KEY INPUTS'!D45)</f>
        <v>AS  AT  DECEMBER  31, 2024</v>
      </c>
      <c r="C9" s="1360"/>
      <c r="D9" s="1360"/>
      <c r="E9" s="1360"/>
      <c r="F9" s="1360"/>
      <c r="G9" s="1360"/>
      <c r="H9" s="1360"/>
    </row>
    <row r="10" spans="2:18" ht="36" customHeight="1" thickTop="1" thickBot="1">
      <c r="B10" s="1350" t="s">
        <v>95</v>
      </c>
      <c r="C10" s="1350"/>
      <c r="D10" s="1350"/>
      <c r="E10" s="1350"/>
      <c r="F10" s="1351"/>
      <c r="G10" s="304" t="s">
        <v>96</v>
      </c>
      <c r="H10" s="308" t="s">
        <v>97</v>
      </c>
    </row>
    <row r="11" spans="2:18" ht="21" customHeight="1" thickTop="1">
      <c r="B11" s="574" t="s">
        <v>351</v>
      </c>
      <c r="C11" s="574"/>
      <c r="D11" s="574"/>
      <c r="E11" s="574"/>
      <c r="F11" s="574"/>
      <c r="G11" s="497"/>
      <c r="H11" s="498"/>
      <c r="L11"/>
      <c r="M11"/>
      <c r="N11"/>
      <c r="O11"/>
      <c r="P11"/>
      <c r="Q11"/>
      <c r="R11"/>
    </row>
    <row r="12" spans="2:18" ht="21" customHeight="1">
      <c r="B12" s="495"/>
      <c r="C12" s="495"/>
      <c r="D12" s="495"/>
      <c r="E12" s="495"/>
      <c r="F12" s="495"/>
      <c r="G12" s="450"/>
      <c r="H12" s="457"/>
      <c r="L12"/>
      <c r="M12"/>
      <c r="N12"/>
      <c r="O12"/>
      <c r="P12"/>
      <c r="Q12"/>
      <c r="R12"/>
    </row>
    <row r="13" spans="2:18" ht="21" customHeight="1">
      <c r="B13" s="495"/>
      <c r="C13" s="495"/>
      <c r="D13" s="495"/>
      <c r="E13" s="495"/>
      <c r="F13" s="495"/>
      <c r="G13" s="450"/>
      <c r="H13" s="457"/>
      <c r="L13" s="294"/>
      <c r="M13"/>
      <c r="N13"/>
      <c r="O13"/>
      <c r="P13"/>
      <c r="Q13"/>
      <c r="R13"/>
    </row>
    <row r="14" spans="2:18" ht="21" customHeight="1">
      <c r="B14" s="495"/>
      <c r="C14" s="495"/>
      <c r="D14" s="495"/>
      <c r="E14" s="495"/>
      <c r="F14" s="495"/>
      <c r="G14" s="450"/>
      <c r="H14" s="457"/>
      <c r="L14"/>
      <c r="M14"/>
      <c r="N14"/>
      <c r="O14"/>
      <c r="P14"/>
      <c r="Q14"/>
      <c r="R14"/>
    </row>
    <row r="15" spans="2:18" ht="21" customHeight="1">
      <c r="B15" s="495"/>
      <c r="C15" s="495"/>
      <c r="D15" s="495"/>
      <c r="E15" s="495"/>
      <c r="F15" s="495"/>
      <c r="G15" s="450"/>
      <c r="H15" s="457"/>
      <c r="L15"/>
      <c r="M15"/>
      <c r="N15"/>
      <c r="O15"/>
      <c r="P15"/>
      <c r="Q15"/>
      <c r="R15"/>
    </row>
    <row r="16" spans="2:18" ht="21" customHeight="1">
      <c r="B16" s="495"/>
      <c r="C16" s="495"/>
      <c r="D16" s="495"/>
      <c r="E16" s="495"/>
      <c r="F16" s="495"/>
      <c r="G16" s="450"/>
      <c r="H16" s="457"/>
      <c r="L16"/>
      <c r="M16"/>
      <c r="N16"/>
      <c r="O16"/>
      <c r="P16"/>
      <c r="Q16"/>
      <c r="R16"/>
    </row>
    <row r="17" spans="2:18" ht="21" customHeight="1">
      <c r="B17" s="495"/>
      <c r="C17" s="495"/>
      <c r="D17" s="495"/>
      <c r="E17" s="495"/>
      <c r="F17" s="495"/>
      <c r="G17" s="450"/>
      <c r="H17" s="457"/>
      <c r="L17"/>
      <c r="M17"/>
      <c r="N17"/>
      <c r="O17"/>
      <c r="P17"/>
      <c r="Q17"/>
      <c r="R17"/>
    </row>
    <row r="18" spans="2:18" ht="21" customHeight="1">
      <c r="B18" s="495"/>
      <c r="C18" s="495"/>
      <c r="D18" s="495"/>
      <c r="E18" s="495"/>
      <c r="F18" s="495"/>
      <c r="G18" s="450"/>
      <c r="H18" s="457"/>
      <c r="L18"/>
      <c r="M18"/>
      <c r="N18"/>
      <c r="O18"/>
      <c r="P18"/>
      <c r="Q18"/>
      <c r="R18"/>
    </row>
    <row r="19" spans="2:18" ht="21" customHeight="1">
      <c r="B19" s="495"/>
      <c r="C19" s="495"/>
      <c r="D19" s="495"/>
      <c r="E19" s="495"/>
      <c r="F19" s="495"/>
      <c r="G19" s="450"/>
      <c r="H19" s="457"/>
      <c r="L19"/>
      <c r="M19"/>
      <c r="N19"/>
      <c r="O19"/>
      <c r="P19"/>
      <c r="Q19"/>
      <c r="R19"/>
    </row>
    <row r="20" spans="2:18" ht="21" customHeight="1">
      <c r="B20" s="495"/>
      <c r="C20" s="495"/>
      <c r="D20" s="495"/>
      <c r="E20" s="495"/>
      <c r="F20" s="495"/>
      <c r="G20" s="450"/>
      <c r="H20" s="457"/>
      <c r="L20"/>
      <c r="M20"/>
      <c r="N20"/>
      <c r="O20"/>
      <c r="P20"/>
      <c r="Q20"/>
      <c r="R20"/>
    </row>
    <row r="21" spans="2:18" ht="21" customHeight="1">
      <c r="B21" s="495"/>
      <c r="C21" s="495"/>
      <c r="D21" s="495"/>
      <c r="E21" s="495"/>
      <c r="F21" s="495"/>
      <c r="G21" s="450"/>
      <c r="H21" s="457"/>
      <c r="L21"/>
      <c r="M21"/>
      <c r="N21"/>
      <c r="O21"/>
      <c r="P21"/>
      <c r="Q21"/>
      <c r="R21"/>
    </row>
    <row r="22" spans="2:18" ht="21" customHeight="1">
      <c r="B22" s="495"/>
      <c r="C22" s="495"/>
      <c r="D22" s="495"/>
      <c r="E22" s="495"/>
      <c r="F22" s="495"/>
      <c r="G22" s="450"/>
      <c r="H22" s="457"/>
      <c r="L22"/>
      <c r="M22"/>
      <c r="N22"/>
      <c r="O22"/>
      <c r="P22"/>
      <c r="Q22"/>
      <c r="R22"/>
    </row>
    <row r="23" spans="2:18" ht="21" customHeight="1">
      <c r="B23" s="495"/>
      <c r="C23" s="495"/>
      <c r="D23" s="495"/>
      <c r="E23" s="495"/>
      <c r="F23" s="495"/>
      <c r="G23" s="450"/>
      <c r="H23" s="457"/>
      <c r="L23"/>
      <c r="M23"/>
      <c r="N23"/>
      <c r="O23"/>
      <c r="P23"/>
      <c r="Q23"/>
      <c r="R23"/>
    </row>
    <row r="24" spans="2:18" ht="21" customHeight="1">
      <c r="B24" s="495"/>
      <c r="C24" s="495"/>
      <c r="D24" s="495"/>
      <c r="E24" s="495"/>
      <c r="F24" s="495"/>
      <c r="G24" s="450"/>
      <c r="H24" s="457"/>
      <c r="L24"/>
      <c r="M24"/>
      <c r="N24"/>
      <c r="O24"/>
      <c r="P24"/>
      <c r="Q24"/>
      <c r="R24"/>
    </row>
    <row r="25" spans="2:18" ht="21" customHeight="1">
      <c r="B25" s="495"/>
      <c r="C25" s="495"/>
      <c r="D25" s="495"/>
      <c r="E25" s="495"/>
      <c r="F25" s="495"/>
      <c r="G25" s="450"/>
      <c r="H25" s="457"/>
      <c r="L25"/>
      <c r="M25"/>
      <c r="N25"/>
      <c r="O25"/>
      <c r="P25"/>
      <c r="Q25"/>
      <c r="R25"/>
    </row>
    <row r="26" spans="2:18" ht="21" customHeight="1">
      <c r="B26" s="495"/>
      <c r="C26" s="495"/>
      <c r="D26" s="495"/>
      <c r="E26" s="495"/>
      <c r="F26" s="495"/>
      <c r="G26" s="450"/>
      <c r="H26" s="457"/>
      <c r="L26"/>
      <c r="M26"/>
      <c r="N26"/>
      <c r="O26"/>
      <c r="P26"/>
      <c r="Q26"/>
      <c r="R26"/>
    </row>
    <row r="27" spans="2:18" ht="21" customHeight="1">
      <c r="B27" s="495"/>
      <c r="C27" s="495"/>
      <c r="D27" s="495"/>
      <c r="E27" s="495"/>
      <c r="F27" s="495"/>
      <c r="G27" s="450"/>
      <c r="H27" s="457"/>
      <c r="L27"/>
      <c r="M27"/>
      <c r="N27"/>
      <c r="O27"/>
      <c r="P27"/>
      <c r="Q27"/>
      <c r="R27"/>
    </row>
    <row r="28" spans="2:18" ht="21" customHeight="1">
      <c r="B28" s="495"/>
      <c r="C28" s="495"/>
      <c r="D28" s="495"/>
      <c r="E28" s="495"/>
      <c r="F28" s="495"/>
      <c r="G28" s="450"/>
      <c r="H28" s="457"/>
    </row>
    <row r="29" spans="2:18" ht="21" customHeight="1">
      <c r="B29" s="495"/>
      <c r="C29" s="495"/>
      <c r="D29" s="495"/>
      <c r="E29" s="495"/>
      <c r="F29" s="495"/>
      <c r="G29" s="450"/>
      <c r="H29" s="457"/>
    </row>
    <row r="30" spans="2:18" ht="21" customHeight="1">
      <c r="B30" s="495"/>
      <c r="C30" s="495"/>
      <c r="D30" s="495"/>
      <c r="E30" s="495"/>
      <c r="F30" s="495"/>
      <c r="G30" s="450"/>
      <c r="H30" s="457"/>
    </row>
    <row r="31" spans="2:18" ht="21" customHeight="1">
      <c r="B31" s="495"/>
      <c r="C31" s="495"/>
      <c r="D31" s="495"/>
      <c r="E31" s="495"/>
      <c r="F31" s="495"/>
      <c r="G31" s="450"/>
      <c r="H31" s="457"/>
    </row>
    <row r="32" spans="2:18" ht="21" customHeight="1">
      <c r="B32" s="495"/>
      <c r="C32" s="495"/>
      <c r="D32" s="495"/>
      <c r="E32" s="495"/>
      <c r="F32" s="495"/>
      <c r="G32" s="450"/>
      <c r="H32" s="457"/>
    </row>
    <row r="33" spans="2:8" ht="21" customHeight="1">
      <c r="B33" s="495"/>
      <c r="C33" s="495"/>
      <c r="D33" s="495"/>
      <c r="E33" s="495"/>
      <c r="F33" s="495"/>
      <c r="G33" s="450"/>
      <c r="H33" s="457"/>
    </row>
    <row r="34" spans="2:8" ht="21" customHeight="1">
      <c r="B34" s="495"/>
      <c r="C34" s="495"/>
      <c r="D34" s="495"/>
      <c r="E34" s="495"/>
      <c r="F34" s="495"/>
      <c r="G34" s="450"/>
      <c r="H34" s="457"/>
    </row>
    <row r="35" spans="2:8" ht="21" customHeight="1">
      <c r="B35" s="495"/>
      <c r="C35" s="495"/>
      <c r="D35" s="495"/>
      <c r="E35" s="495"/>
      <c r="F35" s="495"/>
      <c r="G35" s="450"/>
      <c r="H35" s="457"/>
    </row>
    <row r="36" spans="2:8" ht="21" customHeight="1">
      <c r="B36" s="495"/>
      <c r="C36" s="495"/>
      <c r="D36" s="495"/>
      <c r="E36" s="495"/>
      <c r="F36" s="495"/>
      <c r="G36" s="450"/>
      <c r="H36" s="457"/>
    </row>
    <row r="37" spans="2:8" ht="21" customHeight="1">
      <c r="B37" s="495"/>
      <c r="C37" s="495"/>
      <c r="D37" s="495"/>
      <c r="E37" s="495"/>
      <c r="F37" s="495"/>
      <c r="G37" s="450"/>
      <c r="H37" s="457"/>
    </row>
    <row r="38" spans="2:8" ht="21" customHeight="1">
      <c r="B38" s="788" t="s">
        <v>3200</v>
      </c>
      <c r="C38" s="788"/>
      <c r="D38" s="788"/>
      <c r="E38" s="788"/>
      <c r="F38" s="788"/>
      <c r="G38" s="450"/>
      <c r="H38" s="781">
        <f>+'51-Utility2'!G23</f>
        <v>0</v>
      </c>
    </row>
    <row r="39" spans="2:8" ht="21" customHeight="1">
      <c r="B39" s="788" t="s">
        <v>3201</v>
      </c>
      <c r="C39" s="788"/>
      <c r="D39" s="788"/>
      <c r="E39" s="788"/>
      <c r="F39" s="788"/>
      <c r="G39" s="450"/>
      <c r="H39" s="781">
        <f>+'49-Utility2'!G11</f>
        <v>0</v>
      </c>
    </row>
    <row r="40" spans="2:8" ht="21" customHeight="1">
      <c r="B40" s="788" t="s">
        <v>797</v>
      </c>
      <c r="C40" s="788"/>
      <c r="D40" s="788"/>
      <c r="E40" s="788"/>
      <c r="F40" s="788"/>
      <c r="G40" s="450"/>
      <c r="H40" s="781">
        <f>'43-Utility2'!L20</f>
        <v>0</v>
      </c>
    </row>
    <row r="41" spans="2:8" ht="21" customHeight="1">
      <c r="B41" s="495"/>
      <c r="C41" s="495"/>
      <c r="D41" s="495"/>
      <c r="E41" s="495"/>
      <c r="F41" s="495"/>
      <c r="G41" s="450"/>
      <c r="H41" s="457"/>
    </row>
    <row r="42" spans="2:8" ht="21" customHeight="1">
      <c r="B42" s="495"/>
      <c r="C42" s="495"/>
      <c r="D42" s="495"/>
      <c r="E42" s="495"/>
      <c r="F42" s="495"/>
      <c r="G42" s="450"/>
      <c r="H42" s="457"/>
    </row>
    <row r="43" spans="2:8" ht="21" customHeight="1">
      <c r="B43" s="248"/>
      <c r="C43" s="248"/>
      <c r="D43" s="248"/>
      <c r="E43" s="248"/>
      <c r="F43" s="248"/>
      <c r="G43" s="767">
        <f>SUM(G11:G42)</f>
        <v>0</v>
      </c>
      <c r="H43" s="790">
        <f>SUM(H11:H42)</f>
        <v>0</v>
      </c>
    </row>
    <row r="44" spans="2:8">
      <c r="B44" s="1352" t="s">
        <v>98</v>
      </c>
      <c r="C44" s="1352"/>
      <c r="D44" s="1352"/>
      <c r="E44" s="1352"/>
      <c r="F44" s="1352"/>
      <c r="G44" s="1352"/>
      <c r="H44" s="1352"/>
    </row>
    <row r="45" spans="2:8">
      <c r="B45" s="302"/>
      <c r="C45" s="302"/>
      <c r="D45" s="302"/>
      <c r="E45" s="302"/>
      <c r="F45" s="302"/>
      <c r="G45" s="302"/>
      <c r="H45" s="302"/>
    </row>
    <row r="46" spans="2:8">
      <c r="B46" s="302"/>
      <c r="C46" s="302"/>
      <c r="D46" s="302"/>
      <c r="E46" s="302"/>
      <c r="F46" s="302"/>
      <c r="G46" s="302"/>
      <c r="H46" s="302"/>
    </row>
    <row r="47" spans="2:8">
      <c r="B47" s="302"/>
      <c r="C47" s="302"/>
      <c r="D47" s="302"/>
      <c r="E47" s="302"/>
      <c r="F47" s="302"/>
      <c r="G47" s="302"/>
      <c r="H47" s="302"/>
    </row>
    <row r="48" spans="2:8">
      <c r="B48" s="302"/>
      <c r="C48" s="302"/>
      <c r="D48" s="302"/>
      <c r="E48" s="302"/>
      <c r="F48" s="302"/>
      <c r="G48" s="302"/>
      <c r="H48" s="302"/>
    </row>
    <row r="49" spans="2:8" ht="13.8">
      <c r="B49" s="1353" t="s">
        <v>3140</v>
      </c>
      <c r="C49" s="1353"/>
      <c r="D49" s="1353"/>
      <c r="E49" s="1353"/>
      <c r="F49" s="1353"/>
      <c r="G49" s="1353"/>
      <c r="H49" s="1353"/>
    </row>
  </sheetData>
  <sheetProtection algorithmName="SHA-512" hashValue="ZQOPTKY1v68ZzSrsEIWGbuIkAudagI0ux2R3RPJgbRn2AwHSqYDmpsSaoXeiBxypVzv6L/HwqxyD3N/juSbxmg==" saltValue="/3VFeU7LloD4xC6qBZ8Yrg=="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C0051-25F0-47C7-B20D-EFD764F32554}">
  <sheetPr codeName="Sheet182">
    <tabColor theme="3" tint="0.39997558519241921"/>
  </sheetPr>
  <dimension ref="A2:V27"/>
  <sheetViews>
    <sheetView zoomScaleNormal="100" zoomScaleSheetLayoutView="80" workbookViewId="0">
      <selection activeCell="L7" sqref="L7"/>
    </sheetView>
  </sheetViews>
  <sheetFormatPr defaultColWidth="9.109375" defaultRowHeight="13.2"/>
  <cols>
    <col min="1" max="1" width="5.6640625" style="267" customWidth="1"/>
    <col min="2" max="3" width="4.88671875" style="267" customWidth="1"/>
    <col min="4" max="4" width="30.6640625" style="267" customWidth="1"/>
    <col min="5" max="12" width="15.6640625" style="267" customWidth="1"/>
    <col min="13" max="16384" width="9.109375" style="267"/>
  </cols>
  <sheetData>
    <row r="2" spans="1:22" ht="20.399999999999999">
      <c r="B2" s="1363" t="str">
        <f>"ANALYSIS  OF "&amp;UPPER('KEY INPUTS'!D55)&amp;" UTILITY  ASSESSMENT  TRUST  CASH  AND  INVESTMENTS"</f>
        <v>ANALYSIS  OF SEWER UTILITY  ASSESSMENT  TRUST  CASH  AND  INVESTMENTS</v>
      </c>
      <c r="C2" s="1363"/>
      <c r="D2" s="1363"/>
      <c r="E2" s="1363"/>
      <c r="F2" s="1363"/>
      <c r="G2" s="1363"/>
      <c r="H2" s="1363"/>
      <c r="I2" s="1363"/>
      <c r="J2" s="1363"/>
      <c r="K2" s="1363"/>
      <c r="L2" s="1363"/>
    </row>
    <row r="3" spans="1:22" ht="21" thickBot="1">
      <c r="B3" s="1363" t="s">
        <v>830</v>
      </c>
      <c r="C3" s="1363"/>
      <c r="D3" s="1363"/>
      <c r="E3" s="1363"/>
      <c r="F3" s="1363"/>
      <c r="G3" s="1363"/>
      <c r="H3" s="1363"/>
      <c r="I3" s="1363"/>
      <c r="J3" s="1363"/>
      <c r="K3" s="1363"/>
      <c r="L3" s="1363"/>
    </row>
    <row r="4" spans="1:22" ht="13.8" thickTop="1">
      <c r="B4" s="323"/>
      <c r="C4" s="323"/>
      <c r="D4" s="323"/>
      <c r="E4" s="324" t="s">
        <v>528</v>
      </c>
      <c r="F4" s="323"/>
      <c r="G4" s="323"/>
      <c r="H4" s="323"/>
      <c r="I4" s="323"/>
      <c r="J4" s="791"/>
      <c r="K4" s="323"/>
      <c r="L4" s="322"/>
    </row>
    <row r="5" spans="1:22" ht="15.6">
      <c r="C5" s="267" t="s">
        <v>536</v>
      </c>
      <c r="E5" s="320" t="s">
        <v>529</v>
      </c>
      <c r="F5" s="1364" t="s">
        <v>530</v>
      </c>
      <c r="G5" s="1365"/>
      <c r="H5" s="1365"/>
      <c r="I5" s="1366"/>
      <c r="J5" s="792"/>
      <c r="L5" s="321" t="s">
        <v>529</v>
      </c>
    </row>
    <row r="6" spans="1:22">
      <c r="C6" s="267" t="s">
        <v>537</v>
      </c>
      <c r="E6" s="793" t="str">
        <f>IF('KEY INPUTS'!C42 = "State Fiscal Year", 'KEY INPUTS'!F46,'KEY INPUTS'!D46)</f>
        <v>Dec. 31, 2023</v>
      </c>
      <c r="F6" s="320" t="s">
        <v>531</v>
      </c>
      <c r="G6" s="320" t="s">
        <v>248</v>
      </c>
      <c r="H6" s="792"/>
      <c r="I6" s="792"/>
      <c r="J6" s="792"/>
      <c r="K6" s="319" t="s">
        <v>535</v>
      </c>
      <c r="L6" s="794" t="str">
        <f>IF('KEY INPUTS'!C42 = "State Fiscal Year", 'KEY INPUTS'!F47,'KEY INPUTS'!D47)</f>
        <v>Dec. 31, 2024</v>
      </c>
    </row>
    <row r="7" spans="1:22" ht="13.8" thickBot="1">
      <c r="B7" s="318"/>
      <c r="C7" s="318"/>
      <c r="D7" s="318"/>
      <c r="E7" s="316"/>
      <c r="F7" s="317" t="s">
        <v>532</v>
      </c>
      <c r="G7" s="317" t="s">
        <v>534</v>
      </c>
      <c r="H7" s="316"/>
      <c r="I7" s="316"/>
      <c r="J7" s="316"/>
      <c r="K7" s="315"/>
      <c r="L7" s="314"/>
    </row>
    <row r="8" spans="1:22" ht="21" customHeight="1" thickTop="1">
      <c r="B8" s="313" t="s">
        <v>621</v>
      </c>
      <c r="C8" s="313"/>
      <c r="D8" s="795"/>
      <c r="E8" s="757" t="s">
        <v>627</v>
      </c>
      <c r="F8" s="757" t="s">
        <v>627</v>
      </c>
      <c r="G8" s="757" t="s">
        <v>627</v>
      </c>
      <c r="H8" s="757" t="s">
        <v>627</v>
      </c>
      <c r="I8" s="757" t="s">
        <v>627</v>
      </c>
      <c r="J8" s="757" t="s">
        <v>627</v>
      </c>
      <c r="K8" s="757" t="s">
        <v>627</v>
      </c>
      <c r="L8" s="641" t="s">
        <v>627</v>
      </c>
      <c r="P8"/>
      <c r="Q8"/>
      <c r="R8"/>
      <c r="S8"/>
      <c r="T8"/>
      <c r="U8"/>
      <c r="V8"/>
    </row>
    <row r="9" spans="1:22" ht="21" customHeight="1">
      <c r="B9" s="495"/>
      <c r="C9" s="495"/>
      <c r="D9" s="499"/>
      <c r="E9" s="450"/>
      <c r="F9" s="450"/>
      <c r="G9" s="450"/>
      <c r="H9" s="450"/>
      <c r="I9" s="450"/>
      <c r="J9" s="450"/>
      <c r="K9" s="450"/>
      <c r="L9" s="753">
        <f>+E9+F9+G9+H9+I9+J9-K9</f>
        <v>0</v>
      </c>
      <c r="P9"/>
      <c r="Q9"/>
      <c r="R9"/>
      <c r="S9"/>
      <c r="T9"/>
      <c r="U9"/>
      <c r="V9"/>
    </row>
    <row r="10" spans="1:22" ht="21" customHeight="1">
      <c r="B10" s="495"/>
      <c r="C10" s="495"/>
      <c r="D10" s="499"/>
      <c r="E10" s="450"/>
      <c r="F10" s="450"/>
      <c r="G10" s="450"/>
      <c r="H10" s="450"/>
      <c r="I10" s="450"/>
      <c r="J10" s="450"/>
      <c r="K10" s="450"/>
      <c r="L10" s="753">
        <f t="shared" ref="L10:L25" si="0">+E10+F10+G10+H10+I10+J10-K10</f>
        <v>0</v>
      </c>
      <c r="P10" s="294"/>
      <c r="Q10"/>
      <c r="R10"/>
      <c r="S10"/>
      <c r="T10"/>
      <c r="U10"/>
      <c r="V10"/>
    </row>
    <row r="11" spans="1:22" ht="21" customHeight="1">
      <c r="B11" s="495"/>
      <c r="C11" s="495"/>
      <c r="D11" s="499"/>
      <c r="E11" s="450"/>
      <c r="F11" s="450"/>
      <c r="G11" s="450"/>
      <c r="H11" s="450"/>
      <c r="I11" s="450"/>
      <c r="J11" s="450"/>
      <c r="K11" s="450"/>
      <c r="L11" s="753">
        <f t="shared" si="0"/>
        <v>0</v>
      </c>
      <c r="P11"/>
      <c r="Q11"/>
      <c r="R11"/>
      <c r="S11"/>
      <c r="T11"/>
      <c r="U11"/>
      <c r="V11"/>
    </row>
    <row r="12" spans="1:22" ht="21" customHeight="1">
      <c r="B12" s="495"/>
      <c r="C12" s="495"/>
      <c r="D12" s="499"/>
      <c r="E12" s="450"/>
      <c r="F12" s="450"/>
      <c r="G12" s="450"/>
      <c r="H12" s="450"/>
      <c r="I12" s="450"/>
      <c r="J12" s="450"/>
      <c r="K12" s="450"/>
      <c r="L12" s="753">
        <f t="shared" si="0"/>
        <v>0</v>
      </c>
      <c r="P12"/>
      <c r="Q12"/>
      <c r="R12"/>
      <c r="S12"/>
      <c r="T12"/>
      <c r="U12"/>
      <c r="V12"/>
    </row>
    <row r="13" spans="1:22" ht="21" customHeight="1">
      <c r="B13" s="495"/>
      <c r="C13" s="495"/>
      <c r="D13" s="499"/>
      <c r="E13" s="453"/>
      <c r="F13" s="450"/>
      <c r="G13" s="450"/>
      <c r="H13" s="450"/>
      <c r="I13" s="450"/>
      <c r="J13" s="450"/>
      <c r="K13" s="450"/>
      <c r="L13" s="753">
        <f t="shared" si="0"/>
        <v>0</v>
      </c>
      <c r="P13"/>
      <c r="Q13"/>
      <c r="R13"/>
      <c r="S13"/>
      <c r="T13"/>
      <c r="U13"/>
      <c r="V13"/>
    </row>
    <row r="14" spans="1:22" ht="21" customHeight="1">
      <c r="B14" s="248" t="s">
        <v>622</v>
      </c>
      <c r="C14" s="248"/>
      <c r="D14" s="312"/>
      <c r="E14" s="702" t="s">
        <v>627</v>
      </c>
      <c r="F14" s="702" t="s">
        <v>627</v>
      </c>
      <c r="G14" s="702" t="s">
        <v>627</v>
      </c>
      <c r="H14" s="702" t="s">
        <v>627</v>
      </c>
      <c r="I14" s="702" t="s">
        <v>627</v>
      </c>
      <c r="J14" s="702" t="s">
        <v>627</v>
      </c>
      <c r="K14" s="702" t="s">
        <v>627</v>
      </c>
      <c r="L14" s="643" t="s">
        <v>627</v>
      </c>
      <c r="P14"/>
      <c r="Q14"/>
      <c r="R14"/>
      <c r="S14"/>
      <c r="T14"/>
      <c r="U14"/>
      <c r="V14"/>
    </row>
    <row r="15" spans="1:22" ht="21" customHeight="1">
      <c r="A15" s="1367" t="s">
        <v>3141</v>
      </c>
      <c r="B15" s="495"/>
      <c r="C15" s="495"/>
      <c r="D15" s="499"/>
      <c r="E15" s="450"/>
      <c r="F15" s="450"/>
      <c r="G15" s="450"/>
      <c r="H15" s="450"/>
      <c r="I15" s="450"/>
      <c r="J15" s="450"/>
      <c r="K15" s="450"/>
      <c r="L15" s="753">
        <f t="shared" si="0"/>
        <v>0</v>
      </c>
      <c r="P15"/>
      <c r="Q15"/>
      <c r="R15"/>
      <c r="S15"/>
      <c r="T15"/>
      <c r="U15"/>
      <c r="V15"/>
    </row>
    <row r="16" spans="1:22" ht="21" customHeight="1">
      <c r="A16" s="1367"/>
      <c r="B16" s="495"/>
      <c r="C16" s="495"/>
      <c r="D16" s="499"/>
      <c r="E16" s="450"/>
      <c r="F16" s="450"/>
      <c r="G16" s="450"/>
      <c r="H16" s="450"/>
      <c r="I16" s="450"/>
      <c r="J16" s="450"/>
      <c r="K16" s="450"/>
      <c r="L16" s="753">
        <f t="shared" si="0"/>
        <v>0</v>
      </c>
      <c r="P16"/>
      <c r="Q16"/>
      <c r="R16"/>
      <c r="S16"/>
      <c r="T16"/>
      <c r="U16"/>
      <c r="V16"/>
    </row>
    <row r="17" spans="1:22" ht="21" customHeight="1">
      <c r="A17" s="1367"/>
      <c r="B17" s="495"/>
      <c r="C17" s="495"/>
      <c r="D17" s="499"/>
      <c r="E17" s="450"/>
      <c r="F17" s="450"/>
      <c r="G17" s="450"/>
      <c r="H17" s="450"/>
      <c r="I17" s="450"/>
      <c r="J17" s="450"/>
      <c r="K17" s="450"/>
      <c r="L17" s="753">
        <f t="shared" si="0"/>
        <v>0</v>
      </c>
      <c r="P17"/>
      <c r="Q17"/>
      <c r="R17"/>
      <c r="S17"/>
      <c r="T17"/>
      <c r="U17"/>
      <c r="V17"/>
    </row>
    <row r="18" spans="1:22" ht="21" customHeight="1">
      <c r="B18" s="495"/>
      <c r="C18" s="495"/>
      <c r="D18" s="499"/>
      <c r="E18" s="450"/>
      <c r="F18" s="450"/>
      <c r="G18" s="450"/>
      <c r="H18" s="450"/>
      <c r="I18" s="450"/>
      <c r="J18" s="450"/>
      <c r="K18" s="450"/>
      <c r="L18" s="753">
        <f t="shared" si="0"/>
        <v>0</v>
      </c>
      <c r="P18"/>
      <c r="Q18"/>
      <c r="R18"/>
      <c r="S18"/>
      <c r="T18"/>
      <c r="U18"/>
      <c r="V18"/>
    </row>
    <row r="19" spans="1:22" ht="21" customHeight="1">
      <c r="B19" s="248" t="s">
        <v>623</v>
      </c>
      <c r="C19" s="248"/>
      <c r="D19" s="312"/>
      <c r="E19" s="450"/>
      <c r="F19" s="450"/>
      <c r="G19" s="450"/>
      <c r="H19" s="450"/>
      <c r="I19" s="450"/>
      <c r="J19" s="450"/>
      <c r="K19" s="450"/>
      <c r="L19" s="753">
        <f t="shared" si="0"/>
        <v>0</v>
      </c>
      <c r="P19"/>
      <c r="Q19"/>
      <c r="R19"/>
      <c r="S19"/>
      <c r="T19"/>
      <c r="U19"/>
      <c r="V19"/>
    </row>
    <row r="20" spans="1:22" ht="21" customHeight="1">
      <c r="B20" s="248" t="s">
        <v>624</v>
      </c>
      <c r="C20" s="248"/>
      <c r="D20" s="312"/>
      <c r="E20" s="450"/>
      <c r="F20" s="450"/>
      <c r="G20" s="450"/>
      <c r="H20" s="450"/>
      <c r="I20" s="450"/>
      <c r="J20" s="450"/>
      <c r="K20" s="450"/>
      <c r="L20" s="753">
        <f t="shared" si="0"/>
        <v>0</v>
      </c>
      <c r="P20"/>
      <c r="Q20"/>
      <c r="R20"/>
      <c r="S20"/>
      <c r="T20"/>
      <c r="U20"/>
      <c r="V20"/>
    </row>
    <row r="21" spans="1:22" ht="21" customHeight="1">
      <c r="B21" s="248" t="s">
        <v>249</v>
      </c>
      <c r="C21" s="248"/>
      <c r="D21" s="312"/>
      <c r="E21" s="702" t="s">
        <v>627</v>
      </c>
      <c r="F21" s="702" t="s">
        <v>627</v>
      </c>
      <c r="G21" s="702" t="s">
        <v>627</v>
      </c>
      <c r="H21" s="702" t="s">
        <v>627</v>
      </c>
      <c r="I21" s="702" t="s">
        <v>627</v>
      </c>
      <c r="J21" s="702" t="s">
        <v>627</v>
      </c>
      <c r="K21" s="702" t="s">
        <v>627</v>
      </c>
      <c r="L21" s="643" t="s">
        <v>627</v>
      </c>
      <c r="P21"/>
      <c r="Q21"/>
      <c r="R21"/>
      <c r="S21"/>
      <c r="T21"/>
      <c r="U21"/>
      <c r="V21"/>
    </row>
    <row r="22" spans="1:22" ht="21" customHeight="1">
      <c r="B22" s="495"/>
      <c r="C22" s="495"/>
      <c r="D22" s="499"/>
      <c r="E22" s="450"/>
      <c r="F22" s="450"/>
      <c r="G22" s="450"/>
      <c r="H22" s="450"/>
      <c r="I22" s="450"/>
      <c r="J22" s="450"/>
      <c r="K22" s="450"/>
      <c r="L22" s="753">
        <f t="shared" si="0"/>
        <v>0</v>
      </c>
      <c r="P22"/>
      <c r="Q22"/>
      <c r="R22"/>
      <c r="S22"/>
      <c r="T22"/>
      <c r="U22"/>
      <c r="V22"/>
    </row>
    <row r="23" spans="1:22" ht="21" customHeight="1">
      <c r="B23" s="495"/>
      <c r="C23" s="495"/>
      <c r="D23" s="499"/>
      <c r="E23" s="450"/>
      <c r="F23" s="450"/>
      <c r="G23" s="450"/>
      <c r="H23" s="450"/>
      <c r="I23" s="450"/>
      <c r="J23" s="450"/>
      <c r="K23" s="450"/>
      <c r="L23" s="753">
        <f t="shared" si="0"/>
        <v>0</v>
      </c>
      <c r="P23"/>
      <c r="Q23"/>
      <c r="R23"/>
      <c r="S23"/>
      <c r="T23"/>
      <c r="U23"/>
      <c r="V23"/>
    </row>
    <row r="24" spans="1:22" ht="21" customHeight="1">
      <c r="B24" s="495"/>
      <c r="C24" s="495"/>
      <c r="D24" s="499"/>
      <c r="E24" s="450"/>
      <c r="F24" s="450"/>
      <c r="G24" s="450"/>
      <c r="H24" s="450"/>
      <c r="I24" s="450"/>
      <c r="J24" s="450"/>
      <c r="K24" s="450"/>
      <c r="L24" s="753">
        <f t="shared" si="0"/>
        <v>0</v>
      </c>
      <c r="P24"/>
      <c r="Q24"/>
      <c r="R24"/>
      <c r="S24"/>
      <c r="T24"/>
      <c r="U24"/>
      <c r="V24"/>
    </row>
    <row r="25" spans="1:22" ht="21" customHeight="1" thickBot="1">
      <c r="B25" s="495"/>
      <c r="C25" s="495"/>
      <c r="D25" s="499"/>
      <c r="E25" s="475"/>
      <c r="F25" s="475"/>
      <c r="G25" s="475"/>
      <c r="H25" s="475"/>
      <c r="I25" s="475"/>
      <c r="J25" s="475"/>
      <c r="K25" s="475"/>
      <c r="L25" s="796">
        <f t="shared" si="0"/>
        <v>0</v>
      </c>
    </row>
    <row r="26" spans="1:22" ht="21" customHeight="1" thickTop="1" thickBot="1">
      <c r="B26" s="311"/>
      <c r="C26" s="311"/>
      <c r="D26" s="310"/>
      <c r="E26" s="755">
        <f t="shared" ref="E26:K26" si="1">SUM(E9:E25)</f>
        <v>0</v>
      </c>
      <c r="F26" s="755">
        <f t="shared" si="1"/>
        <v>0</v>
      </c>
      <c r="G26" s="755">
        <f t="shared" si="1"/>
        <v>0</v>
      </c>
      <c r="H26" s="755">
        <f t="shared" si="1"/>
        <v>0</v>
      </c>
      <c r="I26" s="755">
        <f t="shared" si="1"/>
        <v>0</v>
      </c>
      <c r="J26" s="755">
        <f t="shared" si="1"/>
        <v>0</v>
      </c>
      <c r="K26" s="755">
        <f t="shared" si="1"/>
        <v>0</v>
      </c>
      <c r="L26" s="797">
        <f>SUM(L9:L25)</f>
        <v>0</v>
      </c>
    </row>
    <row r="27" spans="1:22" ht="13.8" thickTop="1">
      <c r="B27" s="309" t="s">
        <v>626</v>
      </c>
    </row>
  </sheetData>
  <sheetProtection algorithmName="SHA-512" hashValue="mMeCkRld1a+Vedj50UolW7aI/qXAwsI/rI1lq8/gmmweOJ7VZz1a/pX0i7jXIDqViRbLE6hQ5ezt2lP059luug==" saltValue="uMti8KVgP/WbsEhIGeqWDg==" spinCount="100000"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CA009-43CE-43D0-ABEE-DDDD6A9FA50B}">
  <sheetPr codeName="Sheet183">
    <tabColor theme="3" tint="0.39997558519241921"/>
  </sheetPr>
  <dimension ref="B2:T55"/>
  <sheetViews>
    <sheetView topLeftCell="A3" zoomScaleNormal="100" zoomScaleSheetLayoutView="80" workbookViewId="0">
      <selection activeCell="I14" sqref="I14"/>
    </sheetView>
  </sheetViews>
  <sheetFormatPr defaultColWidth="8.88671875" defaultRowHeight="13.2"/>
  <cols>
    <col min="1" max="1" width="4.6640625" style="267" customWidth="1"/>
    <col min="2" max="3" width="3.6640625" style="267" customWidth="1"/>
    <col min="4" max="4" width="4.6640625" style="267" customWidth="1"/>
    <col min="5" max="5" width="8.88671875" style="267"/>
    <col min="6" max="6" width="16.6640625" style="267" customWidth="1"/>
    <col min="7" max="7" width="8.6640625" style="267" customWidth="1"/>
    <col min="8" max="10" width="16.6640625" style="267" customWidth="1"/>
    <col min="11" max="11" width="8.88671875" style="267"/>
    <col min="12" max="12" width="11.33203125" style="267" bestFit="1" customWidth="1"/>
    <col min="13" max="16384" width="8.88671875" style="267"/>
  </cols>
  <sheetData>
    <row r="2" spans="2:20" ht="22.8">
      <c r="B2" s="1358" t="str">
        <f>"SCHEDULE OF "&amp;UPPER('KEY INPUTS'!D55)&amp;" UTILITY BUDGET  -  "&amp;IF('KEY INPUTS'!C42="State Fiscal Year","FY "&amp;'KEY INPUTS'!D33&amp;"",'KEY INPUTS'!D34)&amp;""</f>
        <v>SCHEDULE OF SEWER UTILITY BUDGET  -  2024</v>
      </c>
      <c r="C2" s="1358"/>
      <c r="D2" s="1358"/>
      <c r="E2" s="1358"/>
      <c r="F2" s="1358"/>
      <c r="G2" s="1358"/>
      <c r="H2" s="1358"/>
      <c r="I2" s="1358"/>
      <c r="J2" s="1358"/>
    </row>
    <row r="3" spans="2:20" ht="12" customHeight="1">
      <c r="B3" s="354"/>
      <c r="C3" s="354"/>
      <c r="D3" s="354"/>
      <c r="E3" s="354"/>
      <c r="F3" s="354"/>
      <c r="G3" s="354"/>
      <c r="H3" s="354"/>
      <c r="I3" s="354"/>
      <c r="J3" s="354"/>
    </row>
    <row r="4" spans="2:20" ht="17.25" customHeight="1" thickBot="1">
      <c r="B4" s="1372" t="s">
        <v>831</v>
      </c>
      <c r="C4" s="1372"/>
      <c r="D4" s="1372"/>
      <c r="E4" s="1372"/>
      <c r="F4" s="1372"/>
      <c r="G4" s="1372"/>
      <c r="H4" s="1372"/>
      <c r="I4" s="1372"/>
      <c r="J4" s="1372"/>
    </row>
    <row r="5" spans="2:20" ht="13.8" thickTop="1">
      <c r="B5" s="1368" t="s">
        <v>165</v>
      </c>
      <c r="C5" s="1368"/>
      <c r="D5" s="1368"/>
      <c r="E5" s="1368"/>
      <c r="F5" s="1368"/>
      <c r="G5" s="1369"/>
      <c r="H5" s="324" t="s">
        <v>534</v>
      </c>
      <c r="I5" s="324" t="s">
        <v>637</v>
      </c>
      <c r="J5" s="353" t="s">
        <v>319</v>
      </c>
    </row>
    <row r="6" spans="2:20" ht="13.8" thickBot="1">
      <c r="B6" s="1370"/>
      <c r="C6" s="1370"/>
      <c r="D6" s="1370"/>
      <c r="E6" s="1370"/>
      <c r="F6" s="1370"/>
      <c r="G6" s="1371"/>
      <c r="H6" s="352"/>
      <c r="I6" s="352" t="s">
        <v>318</v>
      </c>
      <c r="J6" s="351" t="s">
        <v>320</v>
      </c>
    </row>
    <row r="7" spans="2:20" ht="21" customHeight="1" thickTop="1">
      <c r="B7" s="313" t="s">
        <v>3154</v>
      </c>
      <c r="C7" s="313"/>
      <c r="D7" s="313"/>
      <c r="E7" s="313"/>
      <c r="F7" s="313"/>
      <c r="G7" s="350"/>
      <c r="H7" s="454">
        <v>119285</v>
      </c>
      <c r="I7" s="887">
        <f>H7</f>
        <v>119285</v>
      </c>
      <c r="J7" s="827">
        <f>+I7-H7</f>
        <v>0</v>
      </c>
    </row>
    <row r="8" spans="2:20" ht="10.5" customHeight="1">
      <c r="B8" s="309" t="s">
        <v>3153</v>
      </c>
      <c r="G8" s="347"/>
      <c r="H8" s="886"/>
      <c r="I8" s="886"/>
      <c r="J8" s="776"/>
    </row>
    <row r="9" spans="2:20">
      <c r="B9" s="333" t="s">
        <v>168</v>
      </c>
      <c r="C9" s="333"/>
      <c r="D9" s="333"/>
      <c r="E9" s="333"/>
      <c r="F9" s="333"/>
      <c r="G9" s="341"/>
      <c r="H9" s="500"/>
      <c r="I9" s="500"/>
      <c r="J9" s="638">
        <f t="shared" ref="J9:J15" si="0">+I9-H9</f>
        <v>0</v>
      </c>
    </row>
    <row r="10" spans="2:20" ht="21" customHeight="1">
      <c r="B10" s="495" t="s">
        <v>3694</v>
      </c>
      <c r="C10" s="495"/>
      <c r="D10" s="495"/>
      <c r="E10" s="495"/>
      <c r="F10" s="495"/>
      <c r="G10" s="798"/>
      <c r="H10" s="596">
        <v>330000</v>
      </c>
      <c r="I10" s="596">
        <v>342726.09</v>
      </c>
      <c r="J10" s="888">
        <f t="shared" si="0"/>
        <v>12726.090000000026</v>
      </c>
      <c r="N10"/>
      <c r="O10"/>
      <c r="P10"/>
      <c r="Q10"/>
      <c r="R10"/>
      <c r="S10"/>
      <c r="T10"/>
    </row>
    <row r="11" spans="2:20" ht="21" customHeight="1">
      <c r="B11" s="495" t="s">
        <v>3695</v>
      </c>
      <c r="C11" s="495"/>
      <c r="D11" s="495"/>
      <c r="E11" s="495"/>
      <c r="F11" s="495"/>
      <c r="G11" s="798"/>
      <c r="H11" s="596">
        <v>200000</v>
      </c>
      <c r="I11" s="596">
        <v>324773.74</v>
      </c>
      <c r="J11" s="780">
        <f t="shared" si="0"/>
        <v>124773.73999999999</v>
      </c>
      <c r="N11"/>
      <c r="O11"/>
      <c r="P11"/>
      <c r="Q11"/>
      <c r="R11"/>
      <c r="S11"/>
      <c r="T11"/>
    </row>
    <row r="12" spans="2:20" ht="21" customHeight="1">
      <c r="B12" s="495" t="s">
        <v>3696</v>
      </c>
      <c r="C12" s="495"/>
      <c r="D12" s="495"/>
      <c r="E12" s="495"/>
      <c r="F12" s="495"/>
      <c r="G12" s="798"/>
      <c r="H12" s="596">
        <v>103440</v>
      </c>
      <c r="I12" s="596">
        <v>103441</v>
      </c>
      <c r="J12" s="780">
        <f t="shared" si="0"/>
        <v>1</v>
      </c>
      <c r="N12" s="294"/>
      <c r="O12"/>
      <c r="P12"/>
      <c r="Q12"/>
      <c r="R12"/>
      <c r="S12"/>
      <c r="T12"/>
    </row>
    <row r="13" spans="2:20" ht="21" customHeight="1">
      <c r="B13" s="495" t="s">
        <v>3697</v>
      </c>
      <c r="C13" s="495"/>
      <c r="D13" s="495"/>
      <c r="E13" s="495"/>
      <c r="F13" s="495"/>
      <c r="G13" s="798"/>
      <c r="H13" s="596">
        <v>20000</v>
      </c>
      <c r="I13" s="596">
        <v>19727.95</v>
      </c>
      <c r="J13" s="780">
        <f t="shared" si="0"/>
        <v>-272.04999999999927</v>
      </c>
      <c r="N13"/>
      <c r="O13"/>
      <c r="P13"/>
      <c r="Q13"/>
      <c r="R13"/>
      <c r="S13"/>
      <c r="T13"/>
    </row>
    <row r="14" spans="2:20" ht="21" customHeight="1">
      <c r="B14" s="495"/>
      <c r="C14" s="495"/>
      <c r="D14" s="495"/>
      <c r="E14" s="495"/>
      <c r="F14" s="495"/>
      <c r="G14" s="798"/>
      <c r="H14" s="596"/>
      <c r="I14" s="596"/>
      <c r="J14" s="780">
        <f t="shared" si="0"/>
        <v>0</v>
      </c>
      <c r="N14"/>
      <c r="O14"/>
      <c r="P14"/>
      <c r="Q14"/>
      <c r="R14"/>
      <c r="S14"/>
      <c r="T14"/>
    </row>
    <row r="15" spans="2:20" ht="21" customHeight="1">
      <c r="B15" s="248" t="s">
        <v>3152</v>
      </c>
      <c r="C15" s="248"/>
      <c r="D15" s="248"/>
      <c r="E15" s="248"/>
      <c r="F15" s="248"/>
      <c r="G15" s="341"/>
      <c r="H15" s="596"/>
      <c r="I15" s="596"/>
      <c r="J15" s="780">
        <f t="shared" si="0"/>
        <v>0</v>
      </c>
      <c r="N15"/>
      <c r="O15"/>
      <c r="P15"/>
      <c r="Q15"/>
      <c r="R15"/>
      <c r="S15"/>
      <c r="T15"/>
    </row>
    <row r="16" spans="2:20" ht="21" customHeight="1">
      <c r="B16" s="248" t="s">
        <v>3151</v>
      </c>
      <c r="C16" s="248"/>
      <c r="D16" s="248"/>
      <c r="E16" s="248"/>
      <c r="F16" s="248"/>
      <c r="G16" s="341"/>
      <c r="H16" s="596"/>
      <c r="I16" s="596"/>
      <c r="J16" s="780"/>
      <c r="N16"/>
      <c r="O16"/>
      <c r="P16"/>
      <c r="Q16"/>
      <c r="R16"/>
      <c r="S16"/>
      <c r="T16"/>
    </row>
    <row r="17" spans="2:20" ht="21" customHeight="1">
      <c r="B17" s="248" t="s">
        <v>3570</v>
      </c>
      <c r="C17" s="248"/>
      <c r="D17" s="248"/>
      <c r="E17" s="248"/>
      <c r="F17" s="248"/>
      <c r="G17" s="341"/>
      <c r="H17" s="804" t="s">
        <v>627</v>
      </c>
      <c r="I17" s="804" t="s">
        <v>627</v>
      </c>
      <c r="J17" s="885" t="s">
        <v>627</v>
      </c>
      <c r="N17"/>
      <c r="O17"/>
      <c r="P17"/>
      <c r="Q17"/>
      <c r="R17"/>
      <c r="S17"/>
      <c r="T17"/>
    </row>
    <row r="18" spans="2:20" ht="21" customHeight="1">
      <c r="B18" s="495"/>
      <c r="C18" s="495"/>
      <c r="D18" s="495"/>
      <c r="E18" s="495"/>
      <c r="F18" s="495"/>
      <c r="G18" s="495"/>
      <c r="H18" s="450"/>
      <c r="I18" s="450"/>
      <c r="J18" s="780">
        <f>I18-H18</f>
        <v>0</v>
      </c>
      <c r="N18"/>
      <c r="O18"/>
      <c r="P18"/>
      <c r="Q18"/>
      <c r="R18"/>
      <c r="S18"/>
      <c r="T18"/>
    </row>
    <row r="19" spans="2:20" ht="21" customHeight="1" thickBot="1">
      <c r="B19" s="495"/>
      <c r="C19" s="495"/>
      <c r="D19" s="495"/>
      <c r="E19" s="495"/>
      <c r="F19" s="495"/>
      <c r="G19" s="495"/>
      <c r="H19" s="475"/>
      <c r="I19" s="475"/>
      <c r="J19" s="989">
        <f>I19-H19</f>
        <v>0</v>
      </c>
      <c r="N19"/>
      <c r="O19"/>
      <c r="P19"/>
      <c r="Q19"/>
      <c r="R19"/>
      <c r="S19"/>
      <c r="T19"/>
    </row>
    <row r="20" spans="2:20" ht="21" customHeight="1" thickTop="1">
      <c r="B20" s="248"/>
      <c r="C20" s="248"/>
      <c r="D20" s="248" t="s">
        <v>317</v>
      </c>
      <c r="E20" s="248"/>
      <c r="F20" s="248"/>
      <c r="G20" s="344"/>
      <c r="H20" s="890">
        <f>SUM(H7:H19)</f>
        <v>772725</v>
      </c>
      <c r="I20" s="890">
        <f>SUM(I7:I19)</f>
        <v>909953.78</v>
      </c>
      <c r="J20" s="638">
        <f>SUM(J7:J19)</f>
        <v>137228.78000000003</v>
      </c>
      <c r="N20"/>
      <c r="O20"/>
      <c r="P20"/>
      <c r="Q20"/>
      <c r="R20"/>
      <c r="S20"/>
      <c r="T20"/>
    </row>
    <row r="21" spans="2:20" ht="21" customHeight="1" thickBot="1">
      <c r="B21" s="248" t="s">
        <v>3150</v>
      </c>
      <c r="C21" s="342"/>
      <c r="D21" s="342"/>
      <c r="E21" s="248"/>
      <c r="F21" s="248"/>
      <c r="G21" s="341"/>
      <c r="H21" s="501"/>
      <c r="I21" s="501"/>
      <c r="J21" s="776">
        <f>I21-H21</f>
        <v>0</v>
      </c>
      <c r="N21"/>
      <c r="O21"/>
      <c r="P21"/>
      <c r="Q21"/>
      <c r="R21"/>
      <c r="S21"/>
      <c r="T21"/>
    </row>
    <row r="22" spans="2:20" ht="21" customHeight="1" thickTop="1" thickBot="1">
      <c r="G22" s="340"/>
      <c r="H22" s="891">
        <f>+H20+H21</f>
        <v>772725</v>
      </c>
      <c r="I22" s="891">
        <f>+I20+I21</f>
        <v>909953.78</v>
      </c>
      <c r="J22" s="889">
        <f>+J20+J21</f>
        <v>137228.78000000003</v>
      </c>
      <c r="L22" s="301" t="s">
        <v>3131</v>
      </c>
      <c r="N22"/>
      <c r="O22"/>
      <c r="P22"/>
      <c r="Q22"/>
      <c r="R22"/>
      <c r="S22"/>
      <c r="T22"/>
    </row>
    <row r="23" spans="2:20" ht="13.8" thickTop="1">
      <c r="B23" s="309" t="s">
        <v>3149</v>
      </c>
      <c r="N23"/>
      <c r="O23"/>
      <c r="P23"/>
      <c r="Q23"/>
      <c r="R23"/>
      <c r="S23"/>
      <c r="T23"/>
    </row>
    <row r="24" spans="2:20">
      <c r="B24" s="309" t="s">
        <v>3148</v>
      </c>
      <c r="N24"/>
      <c r="O24"/>
      <c r="P24"/>
      <c r="Q24"/>
      <c r="R24"/>
      <c r="S24"/>
      <c r="T24"/>
    </row>
    <row r="25" spans="2:20">
      <c r="N25"/>
      <c r="O25"/>
      <c r="P25"/>
      <c r="Q25"/>
      <c r="R25"/>
      <c r="S25"/>
      <c r="T25"/>
    </row>
    <row r="26" spans="2:20">
      <c r="N26"/>
      <c r="O26"/>
      <c r="P26"/>
      <c r="Q26"/>
      <c r="R26"/>
      <c r="S26"/>
      <c r="T26"/>
    </row>
    <row r="27" spans="2:20" ht="17.25" customHeight="1" thickBot="1">
      <c r="B27" s="1372" t="s">
        <v>321</v>
      </c>
      <c r="C27" s="1372"/>
      <c r="D27" s="1372"/>
      <c r="E27" s="1372"/>
      <c r="F27" s="1372"/>
      <c r="G27" s="1372"/>
      <c r="H27" s="1372"/>
      <c r="I27" s="1372"/>
      <c r="J27" s="1372"/>
    </row>
    <row r="28" spans="2:20" ht="21" customHeight="1" thickTop="1">
      <c r="B28" s="337" t="s">
        <v>322</v>
      </c>
      <c r="C28" s="313"/>
      <c r="D28" s="313"/>
      <c r="E28" s="313"/>
      <c r="F28" s="313"/>
      <c r="G28" s="313"/>
      <c r="H28" s="313"/>
      <c r="I28" s="892"/>
      <c r="J28" s="893" t="s">
        <v>627</v>
      </c>
    </row>
    <row r="29" spans="2:20" ht="21" customHeight="1">
      <c r="B29" s="334"/>
      <c r="C29" s="333" t="s">
        <v>174</v>
      </c>
      <c r="D29" s="333"/>
      <c r="E29" s="333"/>
      <c r="F29" s="333"/>
      <c r="G29" s="333"/>
      <c r="H29" s="333"/>
      <c r="I29" s="894"/>
      <c r="J29" s="502">
        <v>772725</v>
      </c>
    </row>
    <row r="30" spans="2:20" ht="21" customHeight="1">
      <c r="B30" s="334"/>
      <c r="C30" s="333" t="s">
        <v>3571</v>
      </c>
      <c r="D30" s="333"/>
      <c r="E30" s="333"/>
      <c r="F30" s="333"/>
      <c r="G30" s="333"/>
      <c r="H30" s="333"/>
      <c r="I30" s="894"/>
      <c r="J30" s="502"/>
    </row>
    <row r="31" spans="2:20" ht="21" customHeight="1" thickBot="1">
      <c r="B31" s="334"/>
      <c r="C31" s="333" t="s">
        <v>323</v>
      </c>
      <c r="D31" s="333"/>
      <c r="E31" s="333"/>
      <c r="F31" s="333"/>
      <c r="G31" s="333"/>
      <c r="H31" s="333"/>
      <c r="I31" s="894"/>
      <c r="J31" s="503"/>
    </row>
    <row r="32" spans="2:20" ht="21" customHeight="1" thickTop="1">
      <c r="B32" s="334" t="s">
        <v>324</v>
      </c>
      <c r="C32" s="333"/>
      <c r="D32" s="333"/>
      <c r="E32" s="333"/>
      <c r="F32" s="333"/>
      <c r="G32" s="333"/>
      <c r="H32" s="333"/>
      <c r="I32" s="895"/>
      <c r="J32" s="896">
        <f>SUM(J29:J31)</f>
        <v>772725</v>
      </c>
    </row>
    <row r="33" spans="2:13" ht="21" customHeight="1" thickBot="1">
      <c r="B33" s="334" t="s">
        <v>325</v>
      </c>
      <c r="C33" s="333"/>
      <c r="D33" s="333"/>
      <c r="E33" s="333"/>
      <c r="F33" s="333"/>
      <c r="G33" s="333"/>
      <c r="H33" s="333"/>
      <c r="I33" s="895"/>
      <c r="J33" s="503"/>
    </row>
    <row r="34" spans="2:13" ht="21" customHeight="1" thickTop="1">
      <c r="B34" s="334" t="s">
        <v>726</v>
      </c>
      <c r="C34" s="333"/>
      <c r="D34" s="333"/>
      <c r="E34" s="333"/>
      <c r="F34" s="333"/>
      <c r="G34" s="333"/>
      <c r="H34" s="333"/>
      <c r="I34" s="895"/>
      <c r="J34" s="896">
        <f>+J32+J33</f>
        <v>772725</v>
      </c>
    </row>
    <row r="35" spans="2:13" ht="21" customHeight="1">
      <c r="B35" s="334" t="s">
        <v>326</v>
      </c>
      <c r="C35" s="333"/>
      <c r="D35" s="333"/>
      <c r="E35" s="333"/>
      <c r="F35" s="333"/>
      <c r="G35" s="333"/>
      <c r="H35" s="333"/>
      <c r="I35" s="895"/>
      <c r="J35" s="897"/>
    </row>
    <row r="36" spans="2:13" ht="21" customHeight="1">
      <c r="B36" s="248"/>
      <c r="C36" s="248" t="s">
        <v>593</v>
      </c>
      <c r="D36" s="248"/>
      <c r="E36" s="248"/>
      <c r="F36" s="248"/>
      <c r="G36" s="248"/>
      <c r="H36" s="248"/>
      <c r="I36" s="504">
        <f>757209.48-0.97</f>
        <v>757208.51</v>
      </c>
      <c r="J36" s="898"/>
    </row>
    <row r="37" spans="2:13" ht="21" customHeight="1">
      <c r="B37" s="248"/>
      <c r="C37" s="248" t="s">
        <v>730</v>
      </c>
      <c r="D37" s="248"/>
      <c r="E37" s="248"/>
      <c r="F37" s="248"/>
      <c r="G37" s="248"/>
      <c r="H37" s="248"/>
      <c r="I37" s="504">
        <v>15515.52</v>
      </c>
      <c r="J37" s="898"/>
    </row>
    <row r="38" spans="2:13" ht="21" customHeight="1" thickBot="1">
      <c r="B38" s="248" t="s">
        <v>327</v>
      </c>
      <c r="C38" s="248"/>
      <c r="D38" s="248"/>
      <c r="E38" s="248"/>
      <c r="F38" s="248"/>
      <c r="G38" s="248"/>
      <c r="H38" s="248"/>
      <c r="I38" s="505"/>
      <c r="J38" s="502"/>
      <c r="M38" s="301"/>
    </row>
    <row r="39" spans="2:13" ht="21" customHeight="1" thickTop="1" thickBot="1">
      <c r="B39" s="248" t="s">
        <v>731</v>
      </c>
      <c r="C39" s="248"/>
      <c r="D39" s="248"/>
      <c r="E39" s="248"/>
      <c r="F39" s="248"/>
      <c r="G39" s="248"/>
      <c r="H39" s="248"/>
      <c r="I39" s="899"/>
      <c r="J39" s="901">
        <f>SUM(I36:I38)</f>
        <v>772724.03</v>
      </c>
    </row>
    <row r="40" spans="2:13" ht="21" customHeight="1" thickTop="1" thickBot="1">
      <c r="B40" s="248" t="s">
        <v>328</v>
      </c>
      <c r="C40" s="248"/>
      <c r="D40" s="248"/>
      <c r="E40" s="248"/>
      <c r="F40" s="248"/>
      <c r="G40" s="248"/>
      <c r="H40" s="248"/>
      <c r="I40" s="900"/>
      <c r="J40" s="902">
        <f>+J34-J39</f>
        <v>0.96999999997206032</v>
      </c>
      <c r="K40" s="301"/>
    </row>
    <row r="41" spans="2:13" ht="13.8" thickTop="1"/>
    <row r="42" spans="2:13">
      <c r="B42" s="309" t="s">
        <v>3147</v>
      </c>
      <c r="C42" s="309"/>
      <c r="D42" s="309"/>
      <c r="E42" s="309"/>
      <c r="F42" s="309"/>
    </row>
    <row r="43" spans="2:13">
      <c r="B43" s="309"/>
      <c r="C43" s="309" t="s">
        <v>3146</v>
      </c>
      <c r="D43" s="309"/>
      <c r="E43" s="309"/>
      <c r="F43" s="309"/>
    </row>
    <row r="44" spans="2:13">
      <c r="B44" s="309"/>
      <c r="C44" s="309"/>
      <c r="D44" s="309" t="s">
        <v>3145</v>
      </c>
      <c r="E44" s="309"/>
      <c r="F44" s="309"/>
      <c r="M44" s="301"/>
    </row>
    <row r="45" spans="2:13">
      <c r="B45" s="309"/>
      <c r="C45" s="309" t="s">
        <v>39</v>
      </c>
      <c r="D45" s="309"/>
      <c r="E45" s="309"/>
      <c r="F45" s="309"/>
    </row>
    <row r="46" spans="2:13">
      <c r="B46" s="309"/>
      <c r="C46" s="309" t="s">
        <v>3144</v>
      </c>
      <c r="D46" s="309"/>
      <c r="E46" s="309"/>
      <c r="F46" s="309"/>
    </row>
    <row r="47" spans="2:13">
      <c r="B47" s="309"/>
      <c r="C47" s="309"/>
      <c r="D47" s="309" t="s">
        <v>3143</v>
      </c>
      <c r="E47" s="309"/>
      <c r="F47" s="309"/>
    </row>
    <row r="48" spans="2:13">
      <c r="B48" s="309"/>
      <c r="C48" s="309"/>
      <c r="D48" s="309"/>
      <c r="E48" s="309"/>
      <c r="F48" s="309"/>
    </row>
    <row r="55" spans="2:10" ht="13.8">
      <c r="B55" s="1353" t="s">
        <v>3142</v>
      </c>
      <c r="C55" s="1353"/>
      <c r="D55" s="1353"/>
      <c r="E55" s="1353"/>
      <c r="F55" s="1353"/>
      <c r="G55" s="1353"/>
      <c r="H55" s="1353"/>
      <c r="I55" s="1353"/>
      <c r="J55" s="1353"/>
    </row>
  </sheetData>
  <sheetProtection algorithmName="SHA-512" hashValue="e+gI5Js5GS/jmWtg+gnwQak9gT68K3jdcLQIjAlq7WvCARPr75EhKv1D5nPD7jkNDaoLtwrBh27CQ4UdIiImNg==" saltValue="I4lxb916043HlOQ5VXuAXg=="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50842-7C75-4A4A-84FA-24D9DD9545DB}">
  <sheetPr codeName="Sheet184">
    <tabColor theme="3" tint="0.39997558519241921"/>
  </sheetPr>
  <dimension ref="B3:T57"/>
  <sheetViews>
    <sheetView topLeftCell="A18" zoomScaleNormal="100" zoomScaleSheetLayoutView="80" workbookViewId="0">
      <selection activeCell="J49" sqref="J49"/>
    </sheetView>
  </sheetViews>
  <sheetFormatPr defaultColWidth="8.88671875" defaultRowHeight="13.2"/>
  <cols>
    <col min="1" max="1" width="4.6640625" style="267" customWidth="1"/>
    <col min="2" max="2" width="6.109375" style="267" customWidth="1"/>
    <col min="3" max="3" width="3.33203125" style="267" customWidth="1"/>
    <col min="4" max="4" width="2.6640625" style="267" customWidth="1"/>
    <col min="5" max="5" width="8.88671875" style="267"/>
    <col min="6" max="6" width="5.88671875" style="267" customWidth="1"/>
    <col min="7" max="7" width="8.88671875" style="267"/>
    <col min="8" max="8" width="16" style="267" customWidth="1"/>
    <col min="9" max="9" width="8.88671875" style="267"/>
    <col min="10" max="11" width="16.6640625" style="267" customWidth="1"/>
    <col min="12" max="12" width="8.88671875" style="267"/>
    <col min="13" max="13" width="11.33203125" style="267" customWidth="1"/>
    <col min="14" max="16384" width="8.88671875" style="267"/>
  </cols>
  <sheetData>
    <row r="3" spans="2:20" ht="22.8">
      <c r="B3" s="1358" t="str">
        <f>"STATEMENT  OF  "&amp;IF('KEY INPUTS'!C42="State Fiscal Year","FISCAL  YEAR  "&amp;'KEY INPUTS'!D33&amp;"",'KEY INPUTS'!D34)&amp;"  OPERATION"</f>
        <v>STATEMENT  OF  2024  OPERATION</v>
      </c>
      <c r="C3" s="1358"/>
      <c r="D3" s="1358"/>
      <c r="E3" s="1358"/>
      <c r="F3" s="1358"/>
      <c r="G3" s="1358"/>
      <c r="H3" s="1358"/>
      <c r="I3" s="1358"/>
      <c r="J3" s="1358"/>
      <c r="K3" s="1358"/>
    </row>
    <row r="5" spans="2:20" ht="20.399999999999999">
      <c r="B5" s="1363" t="str">
        <f>UPPER('KEY INPUTS'!D55)&amp;" UTILITY"</f>
        <v>SEWER UTILITY</v>
      </c>
      <c r="C5" s="1363"/>
      <c r="D5" s="1363"/>
      <c r="E5" s="1363"/>
      <c r="F5" s="1363"/>
      <c r="G5" s="1363"/>
      <c r="H5" s="1363"/>
      <c r="I5" s="1363"/>
      <c r="J5" s="1363"/>
      <c r="K5" s="1363"/>
    </row>
    <row r="8" spans="2:20">
      <c r="B8" s="267" t="s">
        <v>313</v>
      </c>
      <c r="C8" s="267" t="str">
        <f>"Section 1 of this sheet is required to be filled out ONLY IF the "&amp;IF('KEY INPUTS'!C42="State Fiscal Year","Fiscal Year "&amp;'KEY INPUTS'!D33&amp;"",'KEY INPUTS'!D34)&amp;" "&amp;PROPER('KEY INPUTS'!D55)&amp;" Utility Budget contained"</f>
        <v>Section 1 of this sheet is required to be filled out ONLY IF the 2024 Sewer Utility Budget contained</v>
      </c>
    </row>
    <row r="9" spans="2:20">
      <c r="C9" s="267" t="s">
        <v>329</v>
      </c>
    </row>
    <row r="10" spans="2:20">
      <c r="C10" s="267" t="s">
        <v>330</v>
      </c>
    </row>
    <row r="11" spans="2:20">
      <c r="C11" s="799" t="s">
        <v>3158</v>
      </c>
    </row>
    <row r="13" spans="2:20" ht="17.399999999999999">
      <c r="B13" s="800" t="s">
        <v>331</v>
      </c>
    </row>
    <row r="14" spans="2:20" ht="13.8" thickBot="1">
      <c r="B14" s="318"/>
      <c r="C14" s="318"/>
      <c r="D14" s="318"/>
      <c r="E14" s="318"/>
      <c r="F14" s="318"/>
      <c r="G14" s="318"/>
      <c r="H14" s="318"/>
      <c r="I14" s="318"/>
      <c r="J14" s="318"/>
      <c r="K14" s="318"/>
    </row>
    <row r="15" spans="2:20" ht="21" customHeight="1" thickTop="1">
      <c r="B15" s="313" t="s">
        <v>332</v>
      </c>
      <c r="C15" s="313"/>
      <c r="D15" s="313"/>
      <c r="E15" s="313"/>
      <c r="F15" s="313"/>
      <c r="G15" s="313"/>
      <c r="H15" s="313"/>
      <c r="I15" s="313"/>
      <c r="J15" s="801" t="s">
        <v>627</v>
      </c>
      <c r="K15" s="628"/>
      <c r="N15"/>
      <c r="O15"/>
      <c r="P15"/>
      <c r="Q15"/>
      <c r="R15"/>
      <c r="S15"/>
      <c r="T15"/>
    </row>
    <row r="16" spans="2:20" ht="21" customHeight="1">
      <c r="B16" s="248"/>
      <c r="C16" s="248" t="s">
        <v>333</v>
      </c>
      <c r="D16" s="248"/>
      <c r="E16" s="248"/>
      <c r="F16" s="248"/>
      <c r="G16" s="248"/>
      <c r="H16" s="248"/>
      <c r="I16" s="248"/>
      <c r="J16" s="629">
        <f>+'44-Utility2'!I20</f>
        <v>909953.78</v>
      </c>
      <c r="K16" s="628"/>
      <c r="N16"/>
      <c r="O16"/>
      <c r="P16"/>
      <c r="Q16"/>
      <c r="R16"/>
      <c r="S16"/>
      <c r="T16"/>
    </row>
    <row r="17" spans="2:20" ht="21" customHeight="1">
      <c r="B17" s="248"/>
      <c r="C17" s="248" t="s">
        <v>334</v>
      </c>
      <c r="D17" s="248"/>
      <c r="E17" s="248"/>
      <c r="F17" s="248"/>
      <c r="G17" s="248"/>
      <c r="H17" s="248"/>
      <c r="I17" s="248"/>
      <c r="J17" s="426"/>
      <c r="K17" s="628"/>
      <c r="N17" s="294"/>
      <c r="O17"/>
      <c r="P17"/>
      <c r="Q17"/>
      <c r="R17"/>
      <c r="S17"/>
      <c r="T17"/>
    </row>
    <row r="18" spans="2:20" ht="21" customHeight="1">
      <c r="B18" s="248"/>
      <c r="C18" s="248" t="str">
        <f>IF('KEY INPUTS'!C42="State Fiscal Year","FY "&amp;'KEY INPUTS'!D33-1&amp;"",'KEY INPUTS'!D34-1)&amp;" Appropriation Reserves Canceled in "&amp;IF('KEY INPUTS'!C42="State Fiscal Year","FY "&amp;'KEY INPUTS'!D33&amp;"",'KEY INPUTS'!D34)</f>
        <v>2023 Appropriation Reserves Canceled in 2024</v>
      </c>
      <c r="D18" s="802"/>
      <c r="E18" s="802"/>
      <c r="F18" s="802"/>
      <c r="G18" s="802"/>
      <c r="H18" s="248"/>
      <c r="I18" s="248"/>
      <c r="J18" s="291">
        <v>4128.7700000000004</v>
      </c>
      <c r="K18" s="628"/>
      <c r="N18"/>
      <c r="O18"/>
      <c r="P18"/>
      <c r="Q18"/>
      <c r="R18"/>
      <c r="S18"/>
      <c r="T18"/>
    </row>
    <row r="19" spans="2:20" ht="21" customHeight="1">
      <c r="B19" s="248"/>
      <c r="C19" s="495"/>
      <c r="D19" s="495"/>
      <c r="E19" s="495"/>
      <c r="F19" s="495"/>
      <c r="G19" s="495"/>
      <c r="H19" s="495"/>
      <c r="I19" s="495"/>
      <c r="J19" s="291"/>
      <c r="K19" s="628"/>
      <c r="N19"/>
      <c r="O19"/>
      <c r="P19"/>
      <c r="Q19"/>
      <c r="R19"/>
      <c r="S19"/>
      <c r="T19"/>
    </row>
    <row r="20" spans="2:20" ht="21" customHeight="1">
      <c r="B20" s="248"/>
      <c r="C20" s="495"/>
      <c r="D20" s="495"/>
      <c r="E20" s="495"/>
      <c r="F20" s="495"/>
      <c r="G20" s="495"/>
      <c r="H20" s="495"/>
      <c r="I20" s="495"/>
      <c r="J20" s="291"/>
      <c r="K20" s="628"/>
      <c r="N20"/>
      <c r="O20"/>
      <c r="P20"/>
      <c r="Q20"/>
      <c r="R20"/>
      <c r="S20"/>
      <c r="T20"/>
    </row>
    <row r="21" spans="2:20" ht="21" customHeight="1">
      <c r="B21" s="248"/>
      <c r="C21" s="248" t="s">
        <v>335</v>
      </c>
      <c r="D21" s="248"/>
      <c r="E21" s="248"/>
      <c r="F21" s="248"/>
      <c r="G21" s="248"/>
      <c r="H21" s="248"/>
      <c r="I21" s="248"/>
      <c r="J21" s="426"/>
      <c r="K21" s="636">
        <f>SUM(J16:J20)</f>
        <v>914082.55</v>
      </c>
      <c r="N21"/>
      <c r="O21"/>
      <c r="P21"/>
      <c r="Q21"/>
      <c r="R21"/>
      <c r="S21"/>
      <c r="T21"/>
    </row>
    <row r="22" spans="2:20" ht="21" customHeight="1">
      <c r="B22" s="248" t="s">
        <v>336</v>
      </c>
      <c r="C22" s="248"/>
      <c r="D22" s="248"/>
      <c r="E22" s="248"/>
      <c r="F22" s="248"/>
      <c r="G22" s="248"/>
      <c r="H22" s="248"/>
      <c r="I22" s="248"/>
      <c r="J22" s="804" t="s">
        <v>627</v>
      </c>
      <c r="K22" s="628"/>
      <c r="N22"/>
      <c r="O22"/>
      <c r="P22"/>
      <c r="Q22"/>
      <c r="R22"/>
      <c r="S22"/>
      <c r="T22"/>
    </row>
    <row r="23" spans="2:20" ht="21" customHeight="1">
      <c r="B23" s="248"/>
      <c r="C23" s="248" t="s">
        <v>337</v>
      </c>
      <c r="D23" s="248"/>
      <c r="E23" s="248"/>
      <c r="F23" s="248"/>
      <c r="G23" s="248"/>
      <c r="H23" s="248"/>
      <c r="I23" s="248"/>
      <c r="J23" s="804" t="s">
        <v>627</v>
      </c>
      <c r="K23" s="628"/>
      <c r="N23"/>
      <c r="O23"/>
      <c r="P23"/>
      <c r="Q23"/>
      <c r="R23"/>
      <c r="S23"/>
      <c r="T23"/>
    </row>
    <row r="24" spans="2:20" ht="21" customHeight="1">
      <c r="B24" s="248"/>
      <c r="C24" s="248"/>
      <c r="D24" s="248" t="s">
        <v>593</v>
      </c>
      <c r="E24" s="248"/>
      <c r="F24" s="248"/>
      <c r="G24" s="248"/>
      <c r="H24" s="248"/>
      <c r="I24" s="248"/>
      <c r="J24" s="629">
        <f>+'44-Utility2'!I36</f>
        <v>757208.51</v>
      </c>
      <c r="K24" s="628"/>
      <c r="N24"/>
      <c r="O24"/>
      <c r="P24"/>
      <c r="Q24"/>
      <c r="R24"/>
      <c r="S24"/>
      <c r="T24"/>
    </row>
    <row r="25" spans="2:20" ht="21" customHeight="1">
      <c r="B25" s="248"/>
      <c r="C25" s="248"/>
      <c r="D25" s="248" t="s">
        <v>730</v>
      </c>
      <c r="E25" s="248"/>
      <c r="F25" s="248"/>
      <c r="G25" s="248"/>
      <c r="H25" s="248"/>
      <c r="I25" s="248"/>
      <c r="J25" s="629">
        <f>+'44-Utility2'!I37</f>
        <v>15515.52</v>
      </c>
      <c r="K25" s="628"/>
      <c r="N25"/>
      <c r="O25"/>
      <c r="P25"/>
      <c r="Q25"/>
      <c r="R25"/>
      <c r="S25"/>
      <c r="T25"/>
    </row>
    <row r="26" spans="2:20" ht="21" customHeight="1">
      <c r="B26" s="248"/>
      <c r="C26" s="248" t="s">
        <v>338</v>
      </c>
      <c r="D26" s="248"/>
      <c r="E26" s="248"/>
      <c r="F26" s="248"/>
      <c r="G26" s="248"/>
      <c r="H26" s="248"/>
      <c r="I26" s="248"/>
      <c r="J26" s="426"/>
      <c r="K26" s="628"/>
      <c r="N26"/>
      <c r="O26"/>
      <c r="P26"/>
      <c r="Q26"/>
      <c r="R26"/>
      <c r="S26"/>
      <c r="T26"/>
    </row>
    <row r="27" spans="2:20" ht="21" customHeight="1">
      <c r="B27" s="248"/>
      <c r="C27" s="248" t="s">
        <v>339</v>
      </c>
      <c r="D27" s="248"/>
      <c r="E27" s="248"/>
      <c r="F27" s="248"/>
      <c r="G27" s="248"/>
      <c r="H27" s="248"/>
      <c r="I27" s="248"/>
      <c r="J27" s="426"/>
      <c r="K27" s="628"/>
      <c r="N27"/>
      <c r="O27"/>
      <c r="P27"/>
      <c r="Q27"/>
      <c r="R27"/>
      <c r="S27"/>
      <c r="T27"/>
    </row>
    <row r="28" spans="2:20" ht="21" customHeight="1" thickBot="1">
      <c r="B28" s="248"/>
      <c r="C28" s="495"/>
      <c r="D28" s="495"/>
      <c r="E28" s="495"/>
      <c r="F28" s="495"/>
      <c r="G28" s="495"/>
      <c r="H28" s="495"/>
      <c r="I28" s="495"/>
      <c r="J28" s="725"/>
      <c r="K28" s="628"/>
      <c r="N28"/>
      <c r="O28"/>
      <c r="P28"/>
      <c r="Q28"/>
      <c r="R28"/>
      <c r="S28"/>
      <c r="T28"/>
    </row>
    <row r="29" spans="2:20" ht="21" customHeight="1">
      <c r="B29" s="248"/>
      <c r="C29" s="248"/>
      <c r="D29" s="248"/>
      <c r="E29" s="248"/>
      <c r="F29" s="248" t="s">
        <v>731</v>
      </c>
      <c r="G29" s="248"/>
      <c r="H29" s="248"/>
      <c r="I29" s="248"/>
      <c r="J29" s="633">
        <f>SUM(J24:J28)</f>
        <v>772724.03</v>
      </c>
      <c r="K29" s="628"/>
      <c r="N29"/>
      <c r="O29"/>
      <c r="P29"/>
      <c r="Q29"/>
      <c r="R29"/>
      <c r="S29"/>
      <c r="T29"/>
    </row>
    <row r="30" spans="2:20" ht="11.25" customHeight="1">
      <c r="F30" s="267" t="s">
        <v>755</v>
      </c>
      <c r="G30" s="267" t="s">
        <v>756</v>
      </c>
      <c r="J30" s="807"/>
      <c r="K30" s="628"/>
      <c r="N30"/>
      <c r="O30"/>
      <c r="P30"/>
      <c r="Q30"/>
      <c r="R30"/>
      <c r="S30"/>
      <c r="T30"/>
    </row>
    <row r="31" spans="2:20" ht="13.5" customHeight="1">
      <c r="B31" s="333"/>
      <c r="C31" s="333"/>
      <c r="D31" s="333"/>
      <c r="E31" s="333"/>
      <c r="F31" s="333"/>
      <c r="G31" s="333" t="s">
        <v>757</v>
      </c>
      <c r="H31" s="333"/>
      <c r="I31" s="808"/>
      <c r="J31" s="962"/>
      <c r="K31" s="805"/>
      <c r="N31"/>
      <c r="O31"/>
      <c r="P31"/>
      <c r="Q31"/>
      <c r="R31"/>
      <c r="S31"/>
      <c r="T31"/>
    </row>
    <row r="32" spans="2:20" ht="21" customHeight="1" thickBot="1">
      <c r="B32" s="810"/>
      <c r="C32" s="810"/>
      <c r="D32" s="810" t="s">
        <v>758</v>
      </c>
      <c r="E32" s="810"/>
      <c r="F32" s="810"/>
      <c r="G32" s="810"/>
      <c r="H32" s="810"/>
      <c r="I32" s="810"/>
      <c r="J32" s="811"/>
      <c r="K32" s="806">
        <f>+J29-J31</f>
        <v>772724.03</v>
      </c>
    </row>
    <row r="33" spans="2:15" ht="21" customHeight="1" thickTop="1" thickBot="1">
      <c r="B33" s="812" t="s">
        <v>759</v>
      </c>
      <c r="C33" s="812"/>
      <c r="D33" s="812"/>
      <c r="E33" s="812"/>
      <c r="F33" s="812"/>
      <c r="G33" s="812"/>
      <c r="H33" s="812"/>
      <c r="I33" s="812"/>
      <c r="J33" s="813"/>
      <c r="K33" s="814">
        <f>IF(M33&gt;0,M33,0)</f>
        <v>141358.52000000002</v>
      </c>
      <c r="M33" s="301">
        <f>+K21-K32</f>
        <v>141358.52000000002</v>
      </c>
      <c r="N33" s="550" t="s">
        <v>3209</v>
      </c>
    </row>
    <row r="34" spans="2:15" ht="21" customHeight="1">
      <c r="B34" s="248" t="s">
        <v>760</v>
      </c>
      <c r="C34" s="248"/>
      <c r="D34" s="248"/>
      <c r="E34" s="248"/>
      <c r="F34" s="248"/>
      <c r="G34" s="248"/>
      <c r="H34" s="248"/>
      <c r="I34" s="248"/>
      <c r="J34" s="426"/>
      <c r="K34" s="628"/>
    </row>
    <row r="35" spans="2:15" ht="11.25" customHeight="1">
      <c r="B35" s="1375" t="s">
        <v>761</v>
      </c>
      <c r="C35" s="1375"/>
      <c r="D35" s="1375"/>
      <c r="E35" s="267" t="str">
        <f>"Balance of Results of "&amp;IF('KEY INPUTS'!C42="State Fiscal Year","Fiscal Year "&amp;'KEY INPUTS'!D33&amp;"",'KEY INPUTS'!D34)&amp;" Operation"</f>
        <v>Balance of Results of 2024 Operation</v>
      </c>
      <c r="J35" s="807"/>
      <c r="K35" s="628"/>
    </row>
    <row r="36" spans="2:15" ht="12.75" customHeight="1" thickBot="1">
      <c r="B36" s="1376"/>
      <c r="C36" s="1376"/>
      <c r="D36" s="1376"/>
      <c r="E36" s="333" t="s">
        <v>3481</v>
      </c>
      <c r="F36" s="333"/>
      <c r="G36" s="333"/>
      <c r="H36" s="333"/>
      <c r="I36" s="333"/>
      <c r="J36" s="809">
        <f>+K33-J34</f>
        <v>141358.52000000002</v>
      </c>
      <c r="K36" s="628"/>
    </row>
    <row r="37" spans="2:15" ht="21" customHeight="1" thickBot="1">
      <c r="B37" s="819"/>
      <c r="C37" s="819"/>
      <c r="D37" s="819"/>
      <c r="E37" s="819"/>
      <c r="F37" s="819"/>
      <c r="G37" s="819"/>
      <c r="H37" s="819"/>
      <c r="I37" s="819"/>
      <c r="J37" s="820"/>
      <c r="K37" s="815"/>
    </row>
    <row r="38" spans="2:15" ht="21" customHeight="1" thickBot="1">
      <c r="B38" s="357" t="s">
        <v>762</v>
      </c>
      <c r="C38" s="357"/>
      <c r="D38" s="357"/>
      <c r="E38" s="357"/>
      <c r="F38" s="357"/>
      <c r="G38" s="357"/>
      <c r="H38" s="357"/>
      <c r="I38" s="357"/>
      <c r="J38" s="821"/>
      <c r="K38" s="816">
        <f>IF(+M33&gt;0,0,+M33*-1)</f>
        <v>0</v>
      </c>
    </row>
    <row r="39" spans="2:15" ht="21" customHeight="1">
      <c r="B39" s="248" t="s">
        <v>763</v>
      </c>
      <c r="C39" s="248"/>
      <c r="D39" s="248"/>
      <c r="E39" s="248"/>
      <c r="F39" s="248"/>
      <c r="G39" s="248"/>
      <c r="H39" s="248"/>
      <c r="I39" s="248"/>
      <c r="J39" s="821">
        <f>+'44-Utility2'!I21</f>
        <v>0</v>
      </c>
      <c r="K39" s="628"/>
    </row>
    <row r="40" spans="2:15">
      <c r="B40" s="1377" t="s">
        <v>761</v>
      </c>
      <c r="C40" s="1377"/>
      <c r="D40" s="1377"/>
      <c r="E40" s="267" t="str">
        <f>"Balance of Results of "&amp;IF('KEY INPUTS'!C42="State Fiscal Year","Fiscal Year "&amp;'KEY INPUTS'!D33&amp;"",'KEY INPUTS'!D34)&amp;" Operation"</f>
        <v>Balance of Results of 2024 Operation</v>
      </c>
      <c r="J40" s="807"/>
      <c r="K40" s="817"/>
    </row>
    <row r="41" spans="2:15" ht="13.8" thickBot="1">
      <c r="B41" s="1378"/>
      <c r="C41" s="1378"/>
      <c r="D41" s="1378"/>
      <c r="E41" s="318" t="s">
        <v>3157</v>
      </c>
      <c r="F41" s="318"/>
      <c r="G41" s="318"/>
      <c r="H41" s="318"/>
      <c r="I41" s="318"/>
      <c r="J41" s="822">
        <f>+K38-J39</f>
        <v>0</v>
      </c>
      <c r="K41" s="818"/>
      <c r="L41" s="573"/>
      <c r="O41" s="301"/>
    </row>
    <row r="42" spans="2:15" ht="13.8" thickTop="1">
      <c r="J42" s="355"/>
      <c r="K42" s="355"/>
    </row>
    <row r="43" spans="2:15" ht="17.399999999999999">
      <c r="B43" s="800" t="s">
        <v>764</v>
      </c>
      <c r="J43" s="628"/>
      <c r="K43" s="628"/>
    </row>
    <row r="44" spans="2:15">
      <c r="B44" s="267" t="str">
        <f>"The following Item of '"&amp;IF('KEY INPUTS'!C42="State Fiscal Year","Fiscal Year "&amp;'KEY INPUTS'!D33-1&amp;"",'KEY INPUTS'!D34-1)&amp;" Appropriation Reserves Canceled in "&amp;IF('KEY INPUTS'!C42="State Fiscal Year","Fiscal Year "&amp;'KEY INPUTS'!D33&amp;"",'KEY INPUTS'!D34)&amp;"' is Due to the Current"</f>
        <v>The following Item of '2023 Appropriation Reserves Canceled in 2024' is Due to the Current</v>
      </c>
      <c r="J44" s="628"/>
      <c r="K44" s="628"/>
    </row>
    <row r="45" spans="2:15">
      <c r="B45" s="267" t="str">
        <f>"fund TO THE EXTENT OF the amount received and Due from the General Budget of "&amp;IF('KEY INPUTS'!C42="State Fiscal Year","Fiscal Year "&amp;'KEY INPUTS'!D33-1&amp;"",'KEY INPUTS'!D34-1)&amp;" for an"</f>
        <v>fund TO THE EXTENT OF the amount received and Due from the General Budget of 2023 for an</v>
      </c>
      <c r="J45" s="628"/>
      <c r="K45" s="628"/>
    </row>
    <row r="46" spans="2:15">
      <c r="B46" s="267" t="str">
        <f>"Anticipated Deficit in the "&amp;PROPER('KEY INPUTS'!D55)&amp;" Utility for "&amp;IF('KEY INPUTS'!C42="State Fiscal Year","Fiscal Year "&amp;'KEY INPUTS'!D33-1&amp;"",'KEY INPUTS'!D34-1)&amp;""</f>
        <v>Anticipated Deficit in the Sewer Utility for 2023</v>
      </c>
      <c r="J46" s="628"/>
      <c r="K46" s="628"/>
      <c r="O46"/>
    </row>
    <row r="47" spans="2:15">
      <c r="J47" s="628"/>
      <c r="K47" s="628"/>
      <c r="O47"/>
    </row>
    <row r="48" spans="2:15" ht="21" customHeight="1">
      <c r="B48" s="248" t="str">
        <f>IF('KEY INPUTS'!C42="State Fiscal Year","Fiscal Year "&amp;'KEY INPUTS'!D33-1&amp;"",'KEY INPUTS'!D34-1)&amp;" Appropriation Reserves Canceled in "&amp;IF('KEY INPUTS'!C42="State Fiscal Year","Fiscal Year "&amp;'KEY INPUTS'!D33&amp;"",'KEY INPUTS'!D34)&amp;""</f>
        <v>2023 Appropriation Reserves Canceled in 2024</v>
      </c>
      <c r="C48" s="248"/>
      <c r="D48" s="248"/>
      <c r="E48" s="248"/>
      <c r="F48" s="248"/>
      <c r="G48" s="248"/>
      <c r="H48" s="248"/>
      <c r="I48" s="248"/>
      <c r="J48" s="291">
        <v>4128.7700000000004</v>
      </c>
      <c r="K48" s="628"/>
      <c r="O48"/>
    </row>
    <row r="49" spans="2:15" ht="24" customHeight="1">
      <c r="B49" s="248"/>
      <c r="C49" s="823" t="s">
        <v>755</v>
      </c>
      <c r="D49" s="248"/>
      <c r="E49" s="1373" t="str">
        <f>"Anticipated Deficit in "&amp;IF('KEY INPUTS'!C42="State Fiscal Year","Fiscal Year "&amp;'KEY INPUTS'!D33-1&amp;"",'KEY INPUTS'!D34-1)&amp;" Budget - Amount Received and Due from Current Fund - If none, enter 'None '"</f>
        <v>Anticipated Deficit in 2023 Budget - Amount Received and Due from Current Fund - If none, enter 'None '</v>
      </c>
      <c r="F49" s="1373"/>
      <c r="G49" s="1373"/>
      <c r="H49" s="1373"/>
      <c r="I49" s="1374"/>
      <c r="J49" s="426"/>
      <c r="K49" s="628"/>
      <c r="O49"/>
    </row>
    <row r="50" spans="2:15" ht="21" customHeight="1">
      <c r="B50" s="248" t="s">
        <v>765</v>
      </c>
      <c r="C50" s="248"/>
      <c r="D50" s="248"/>
      <c r="E50" s="248"/>
      <c r="F50" s="248"/>
      <c r="G50" s="248"/>
      <c r="H50" s="248"/>
      <c r="I50" s="248"/>
      <c r="J50" s="509"/>
      <c r="K50" s="636">
        <f>+MAX(0,J48-J49)</f>
        <v>4128.7700000000004</v>
      </c>
    </row>
    <row r="52" spans="2:15">
      <c r="B52" s="267" t="s">
        <v>3156</v>
      </c>
    </row>
    <row r="57" spans="2:15" ht="13.8">
      <c r="B57" s="1353" t="s">
        <v>3155</v>
      </c>
      <c r="C57" s="1353"/>
      <c r="D57" s="1353"/>
      <c r="E57" s="1353"/>
      <c r="F57" s="1353"/>
      <c r="G57" s="1353"/>
      <c r="H57" s="1353"/>
      <c r="I57" s="1353"/>
      <c r="J57" s="1353"/>
      <c r="K57" s="1353"/>
    </row>
  </sheetData>
  <sheetProtection algorithmName="SHA-512" hashValue="2OwdsSJTLovgt/iShhF7+ewVZ/5GC8go/15OT/CWVTxiav1wGnI7jeAJu1XpOlYR32gGDLY64hz1D0CGg7mBGQ==" saltValue="FpgGLEMcqRQ8g7RsopFX1A==" spinCount="100000"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86B9-1547-4F50-90F7-3842A9352C07}">
  <sheetPr codeName="Sheet185">
    <tabColor theme="3" tint="0.39997558519241921"/>
  </sheetPr>
  <dimension ref="B2:Z52"/>
  <sheetViews>
    <sheetView topLeftCell="A25" zoomScaleNormal="100" zoomScaleSheetLayoutView="80" workbookViewId="0">
      <selection activeCell="L38" sqref="L38"/>
    </sheetView>
  </sheetViews>
  <sheetFormatPr defaultColWidth="8.88671875" defaultRowHeight="13.2"/>
  <cols>
    <col min="1" max="5" width="4.6640625" style="267" customWidth="1"/>
    <col min="6" max="8" width="8.88671875" style="267"/>
    <col min="9" max="9" width="6.33203125" style="267" customWidth="1"/>
    <col min="10" max="10" width="8.88671875" style="267"/>
    <col min="11" max="12" width="16.6640625" style="267" customWidth="1"/>
    <col min="13" max="13" width="13.5546875" style="267" bestFit="1" customWidth="1"/>
    <col min="14" max="14" width="11.88671875" style="267" bestFit="1" customWidth="1"/>
    <col min="15" max="16384" width="8.88671875" style="267"/>
  </cols>
  <sheetData>
    <row r="2" spans="2:26" ht="20.399999999999999">
      <c r="B2" s="1363" t="str">
        <f>"RESULTS  OF  "&amp;IF('KEY INPUTS'!C42="State Fiscal Year","FY  "&amp;'KEY INPUTS'!D33&amp;"",'KEY INPUTS'!D34)&amp;"  OPERATIONS  - "&amp;UPPER('KEY INPUTS'!D55)&amp;" UTILITY"</f>
        <v>RESULTS  OF  2024  OPERATIONS  - SEWER UTILITY</v>
      </c>
      <c r="C2" s="1363"/>
      <c r="D2" s="1363"/>
      <c r="E2" s="1363"/>
      <c r="F2" s="1363"/>
      <c r="G2" s="1363"/>
      <c r="H2" s="1363"/>
      <c r="I2" s="1363"/>
      <c r="J2" s="1363"/>
      <c r="K2" s="1363"/>
      <c r="L2" s="1363"/>
    </row>
    <row r="3" spans="2:26" ht="13.8" thickBot="1"/>
    <row r="4" spans="2:26" ht="21" customHeight="1" thickTop="1" thickBot="1">
      <c r="B4" s="364"/>
      <c r="C4" s="364"/>
      <c r="D4" s="364"/>
      <c r="E4" s="364"/>
      <c r="F4" s="364"/>
      <c r="G4" s="364"/>
      <c r="H4" s="364"/>
      <c r="I4" s="364"/>
      <c r="J4" s="364"/>
      <c r="K4" s="304" t="s">
        <v>96</v>
      </c>
      <c r="L4" s="308" t="s">
        <v>97</v>
      </c>
    </row>
    <row r="5" spans="2:26" ht="21" customHeight="1" thickTop="1">
      <c r="B5" s="831" t="s">
        <v>209</v>
      </c>
      <c r="C5" s="313"/>
      <c r="D5" s="313"/>
      <c r="E5" s="313"/>
      <c r="F5" s="313"/>
      <c r="G5" s="313"/>
      <c r="H5" s="313"/>
      <c r="I5" s="313"/>
      <c r="J5" s="313"/>
      <c r="K5" s="826" t="s">
        <v>627</v>
      </c>
      <c r="L5" s="827">
        <f>IF(+'44-Utility2'!J22&gt;0,+'44-Utility2'!J22,0)</f>
        <v>137228.78000000003</v>
      </c>
      <c r="N5"/>
      <c r="O5"/>
      <c r="P5"/>
      <c r="Q5"/>
      <c r="R5"/>
      <c r="S5"/>
      <c r="T5"/>
    </row>
    <row r="6" spans="2:26" ht="21" customHeight="1">
      <c r="B6" s="802" t="s">
        <v>3601</v>
      </c>
      <c r="C6" s="248"/>
      <c r="D6" s="248"/>
      <c r="E6" s="248"/>
      <c r="F6" s="248"/>
      <c r="G6" s="248"/>
      <c r="H6" s="248"/>
      <c r="I6" s="248"/>
      <c r="J6" s="248"/>
      <c r="K6" s="828" t="s">
        <v>627</v>
      </c>
      <c r="L6" s="780">
        <f>+'44-Utility2'!J40</f>
        <v>0.96999999997206032</v>
      </c>
      <c r="M6" s="573"/>
      <c r="N6"/>
      <c r="O6"/>
      <c r="P6"/>
      <c r="Q6"/>
      <c r="R6"/>
      <c r="S6"/>
      <c r="T6"/>
    </row>
    <row r="7" spans="2:26" ht="21" customHeight="1">
      <c r="B7" s="538" t="s">
        <v>210</v>
      </c>
      <c r="C7" s="248"/>
      <c r="D7" s="248"/>
      <c r="E7" s="248"/>
      <c r="F7" s="248"/>
      <c r="G7" s="248"/>
      <c r="H7" s="248"/>
      <c r="I7" s="248"/>
      <c r="J7" s="248"/>
      <c r="K7" s="828" t="s">
        <v>627</v>
      </c>
      <c r="L7" s="780">
        <f>'45-Utility2'!J17</f>
        <v>0</v>
      </c>
      <c r="N7" s="294"/>
      <c r="O7"/>
      <c r="P7"/>
      <c r="Q7"/>
      <c r="R7"/>
      <c r="S7"/>
      <c r="T7"/>
    </row>
    <row r="8" spans="2:26" ht="21" customHeight="1">
      <c r="B8" s="267" t="str">
        <f>"Unexpended Balances of "&amp;IF('KEY INPUTS'!C42="State Fiscal Year","FY "&amp;'KEY INPUTS'!D33-1&amp;"",'KEY INPUTS'!D34-1)&amp;" Appropriation Reserves*"</f>
        <v>Unexpended Balances of 2023 Appropriation Reserves*</v>
      </c>
      <c r="C8" s="248"/>
      <c r="D8" s="248"/>
      <c r="E8" s="248"/>
      <c r="F8" s="248"/>
      <c r="G8" s="248"/>
      <c r="H8" s="248"/>
      <c r="I8" s="248"/>
      <c r="J8" s="248"/>
      <c r="K8" s="828" t="s">
        <v>627</v>
      </c>
      <c r="L8" s="780">
        <f>+'45-Utility2'!K50</f>
        <v>4128.7700000000004</v>
      </c>
      <c r="N8"/>
      <c r="O8"/>
      <c r="P8"/>
      <c r="Q8"/>
      <c r="R8"/>
      <c r="S8"/>
      <c r="T8"/>
    </row>
    <row r="9" spans="2:26" ht="21" customHeight="1">
      <c r="B9" s="544"/>
      <c r="C9" s="495"/>
      <c r="D9" s="495"/>
      <c r="E9" s="495"/>
      <c r="F9" s="495"/>
      <c r="G9" s="495"/>
      <c r="H9" s="495"/>
      <c r="I9" s="248"/>
      <c r="J9" s="248"/>
      <c r="K9" s="504"/>
      <c r="L9" s="457"/>
      <c r="N9"/>
      <c r="O9"/>
      <c r="P9"/>
      <c r="Q9"/>
      <c r="R9"/>
      <c r="S9"/>
      <c r="T9"/>
    </row>
    <row r="10" spans="2:26" ht="21" customHeight="1">
      <c r="B10" s="267" t="s">
        <v>3162</v>
      </c>
      <c r="K10" s="533">
        <f>IF(+'44-Utility2'!J22&lt;0,-'44-Utility2'!J22,0)</f>
        <v>0</v>
      </c>
      <c r="L10" s="829" t="s">
        <v>627</v>
      </c>
      <c r="M10" s="301">
        <f>+L9+L8+L7+L6+L5-K11-K10-K9</f>
        <v>141358.51999999999</v>
      </c>
      <c r="N10" s="550" t="s">
        <v>3370</v>
      </c>
      <c r="O10"/>
      <c r="P10"/>
      <c r="Q10"/>
      <c r="R10"/>
      <c r="S10"/>
      <c r="T10"/>
      <c r="V10" s="366">
        <f>-'44-Utility2'!U22</f>
        <v>0</v>
      </c>
    </row>
    <row r="11" spans="2:26" ht="21" customHeight="1">
      <c r="B11" s="544"/>
      <c r="C11" s="824"/>
      <c r="D11" s="495"/>
      <c r="E11" s="495"/>
      <c r="F11" s="495"/>
      <c r="G11" s="495"/>
      <c r="H11" s="495"/>
      <c r="I11" s="248"/>
      <c r="J11" s="248"/>
      <c r="K11" s="450"/>
      <c r="L11" s="829" t="s">
        <v>627</v>
      </c>
      <c r="N11"/>
      <c r="O11"/>
      <c r="P11"/>
      <c r="Q11"/>
      <c r="R11"/>
      <c r="S11"/>
      <c r="T11"/>
      <c r="U11"/>
      <c r="V11"/>
      <c r="W11"/>
      <c r="X11"/>
      <c r="Y11"/>
      <c r="Z11"/>
    </row>
    <row r="12" spans="2:26" ht="21" customHeight="1">
      <c r="B12" s="538" t="s">
        <v>211</v>
      </c>
      <c r="C12" s="802"/>
      <c r="D12" s="248"/>
      <c r="E12" s="248"/>
      <c r="F12" s="248"/>
      <c r="G12" s="248"/>
      <c r="H12" s="248"/>
      <c r="I12" s="248"/>
      <c r="J12" s="248"/>
      <c r="K12" s="828" t="s">
        <v>627</v>
      </c>
      <c r="L12" s="365">
        <f>IF(M10&gt;0,0,M10*-1)</f>
        <v>0</v>
      </c>
      <c r="N12"/>
      <c r="O12"/>
      <c r="P12"/>
      <c r="Q12"/>
      <c r="R12"/>
      <c r="S12"/>
      <c r="T12"/>
      <c r="U12"/>
      <c r="V12"/>
      <c r="W12"/>
      <c r="X12"/>
      <c r="Y12"/>
      <c r="Z12"/>
    </row>
    <row r="13" spans="2:26" ht="21" customHeight="1" thickBot="1">
      <c r="B13" s="538" t="s">
        <v>212</v>
      </c>
      <c r="C13" s="802"/>
      <c r="D13" s="248"/>
      <c r="E13" s="248"/>
      <c r="F13" s="248"/>
      <c r="G13" s="248"/>
      <c r="H13" s="248"/>
      <c r="I13" s="248"/>
      <c r="J13" s="248"/>
      <c r="K13" s="533">
        <f>IF(M10&gt;0,M10,0)</f>
        <v>141358.51999999999</v>
      </c>
      <c r="L13" s="830" t="s">
        <v>627</v>
      </c>
      <c r="M13" s="301"/>
      <c r="N13"/>
      <c r="O13"/>
      <c r="P13"/>
      <c r="Q13"/>
      <c r="R13"/>
      <c r="S13"/>
      <c r="T13"/>
      <c r="U13"/>
      <c r="V13" s="365">
        <f>U11</f>
        <v>0</v>
      </c>
      <c r="W13"/>
      <c r="X13"/>
      <c r="Y13"/>
      <c r="Z13"/>
    </row>
    <row r="14" spans="2:26" ht="21" customHeight="1" thickBot="1">
      <c r="B14" s="309" t="s">
        <v>3161</v>
      </c>
      <c r="K14" s="785">
        <f>SUM(K5:K13)</f>
        <v>141358.51999999999</v>
      </c>
      <c r="L14" s="786">
        <f>SUM(L5:L13)</f>
        <v>141358.51999999999</v>
      </c>
      <c r="M14" s="301">
        <f>L14-K14</f>
        <v>0</v>
      </c>
      <c r="N14" s="550" t="s">
        <v>3370</v>
      </c>
      <c r="O14"/>
      <c r="P14"/>
      <c r="Q14"/>
      <c r="R14"/>
      <c r="S14"/>
      <c r="T14"/>
      <c r="U14"/>
      <c r="V14"/>
      <c r="W14"/>
      <c r="X14"/>
      <c r="Y14"/>
      <c r="Z14"/>
    </row>
    <row r="15" spans="2:26" ht="18.75" customHeight="1" thickTop="1">
      <c r="N15"/>
      <c r="O15"/>
      <c r="P15"/>
      <c r="Q15"/>
      <c r="R15"/>
      <c r="S15"/>
      <c r="T15"/>
    </row>
    <row r="16" spans="2:26" ht="18.75" customHeight="1">
      <c r="K16" s="301"/>
      <c r="N16"/>
      <c r="O16"/>
      <c r="P16"/>
      <c r="Q16"/>
      <c r="R16"/>
      <c r="S16"/>
      <c r="T16"/>
    </row>
    <row r="17" spans="2:20" ht="22.8">
      <c r="B17" s="1358" t="str">
        <f>"OPERATING  SURPLUS  - "&amp;UPPER('KEY INPUTS'!D55)&amp;" UTILITY"</f>
        <v>OPERATING  SURPLUS  - SEWER UTILITY</v>
      </c>
      <c r="C17" s="1358"/>
      <c r="D17" s="1358"/>
      <c r="E17" s="1358"/>
      <c r="F17" s="1358"/>
      <c r="G17" s="1358"/>
      <c r="H17" s="1358"/>
      <c r="I17" s="1358"/>
      <c r="J17" s="1358"/>
      <c r="K17" s="1358"/>
      <c r="L17" s="1358"/>
      <c r="N17"/>
      <c r="O17"/>
      <c r="P17"/>
      <c r="Q17"/>
      <c r="R17"/>
      <c r="S17"/>
      <c r="T17"/>
    </row>
    <row r="18" spans="2:20" ht="6.75" customHeight="1" thickBot="1">
      <c r="N18"/>
      <c r="O18"/>
      <c r="P18"/>
      <c r="Q18"/>
      <c r="R18"/>
      <c r="S18"/>
      <c r="T18"/>
    </row>
    <row r="19" spans="2:20" ht="25.5" customHeight="1" thickTop="1" thickBot="1">
      <c r="B19" s="364"/>
      <c r="C19" s="364"/>
      <c r="D19" s="364"/>
      <c r="E19" s="364"/>
      <c r="F19" s="364"/>
      <c r="G19" s="364"/>
      <c r="H19" s="364"/>
      <c r="I19" s="364"/>
      <c r="J19" s="364"/>
      <c r="K19" s="304" t="s">
        <v>96</v>
      </c>
      <c r="L19" s="308" t="s">
        <v>97</v>
      </c>
      <c r="N19"/>
      <c r="O19"/>
      <c r="P19"/>
      <c r="Q19"/>
      <c r="R19"/>
      <c r="S19"/>
      <c r="T19"/>
    </row>
    <row r="20" spans="2:20" ht="21" customHeight="1" thickTop="1">
      <c r="B20" s="363" t="str">
        <f>IF('KEY INPUTS'!C42 = "State Fiscal Year", 'KEY INPUTS'!F25,'KEY INPUTS'!D25)</f>
        <v>Balance - January 1, 2024</v>
      </c>
      <c r="C20" s="313"/>
      <c r="D20" s="313"/>
      <c r="E20" s="313"/>
      <c r="F20" s="313"/>
      <c r="G20" s="313"/>
      <c r="H20" s="313"/>
      <c r="I20" s="313"/>
      <c r="J20" s="313"/>
      <c r="K20" s="903" t="s">
        <v>627</v>
      </c>
      <c r="L20" s="486">
        <v>619883.06000000006</v>
      </c>
      <c r="N20"/>
      <c r="O20"/>
      <c r="P20"/>
      <c r="Q20"/>
      <c r="R20"/>
      <c r="S20"/>
      <c r="T20"/>
    </row>
    <row r="21" spans="2:20" ht="21" customHeight="1">
      <c r="B21" s="524"/>
      <c r="C21" s="495"/>
      <c r="D21" s="495"/>
      <c r="E21" s="495"/>
      <c r="F21" s="495"/>
      <c r="G21" s="495"/>
      <c r="H21" s="495"/>
      <c r="I21" s="495"/>
      <c r="J21" s="495"/>
      <c r="K21" s="773"/>
      <c r="L21" s="457"/>
      <c r="N21"/>
      <c r="O21"/>
      <c r="P21"/>
      <c r="Q21"/>
      <c r="R21"/>
      <c r="S21"/>
      <c r="T21"/>
    </row>
    <row r="22" spans="2:20" ht="21" customHeight="1">
      <c r="B22" s="248" t="str">
        <f>"Excess in Results of "&amp;IF('KEY INPUTS'!C42="State Fiscal Year","Fiscal Year "&amp;'KEY INPUTS'!D33&amp;"",'KEY INPUTS'!D34)&amp;" Operations"</f>
        <v>Excess in Results of 2024 Operations</v>
      </c>
      <c r="C22" s="248"/>
      <c r="D22" s="248"/>
      <c r="E22" s="248"/>
      <c r="F22" s="248"/>
      <c r="G22" s="248"/>
      <c r="H22" s="248"/>
      <c r="I22" s="248"/>
      <c r="J22" s="248"/>
      <c r="K22" s="904" t="s">
        <v>627</v>
      </c>
      <c r="L22" s="780">
        <f>+K13</f>
        <v>141358.51999999999</v>
      </c>
    </row>
    <row r="23" spans="2:20" ht="21" customHeight="1">
      <c r="B23" s="248" t="str">
        <f>"Amount Appropriated in the "&amp;IF('KEY INPUTS'!C42="State Fiscal Year","FY "&amp;'KEY INPUTS'!D33&amp;"",'KEY INPUTS'!D34)&amp;" Budget - Cash"</f>
        <v>Amount Appropriated in the 2024 Budget - Cash</v>
      </c>
      <c r="C23" s="248"/>
      <c r="D23" s="248"/>
      <c r="E23" s="248"/>
      <c r="F23" s="248"/>
      <c r="G23" s="248"/>
      <c r="H23" s="248"/>
      <c r="I23" s="248"/>
      <c r="J23" s="248"/>
      <c r="K23" s="533">
        <f>'44-Utility2'!I7</f>
        <v>119285</v>
      </c>
      <c r="L23" s="905" t="s">
        <v>627</v>
      </c>
    </row>
    <row r="24" spans="2:20">
      <c r="B24" s="267" t="str">
        <f>"Amount Appropriated in "&amp;IF('KEY INPUTS'!C42="State Fiscal Year","FY "&amp;'KEY INPUTS'!D33&amp;"",'KEY INPUTS'!D34)&amp;" Budget with Prior Written"</f>
        <v>Amount Appropriated in 2024 Budget with Prior Written</v>
      </c>
      <c r="K24" s="1382"/>
      <c r="L24" s="1470" t="s">
        <v>627</v>
      </c>
    </row>
    <row r="25" spans="2:20" ht="12.75" customHeight="1">
      <c r="B25" s="333" t="s">
        <v>841</v>
      </c>
      <c r="C25" s="333"/>
      <c r="D25" s="333"/>
      <c r="E25" s="333"/>
      <c r="F25" s="333"/>
      <c r="G25" s="333"/>
      <c r="H25" s="333"/>
      <c r="I25" s="333"/>
      <c r="J25" s="333"/>
      <c r="K25" s="1383"/>
      <c r="L25" s="1471"/>
    </row>
    <row r="26" spans="2:20" ht="21" customHeight="1">
      <c r="B26" s="524"/>
      <c r="C26" s="495"/>
      <c r="D26" s="495"/>
      <c r="E26" s="495"/>
      <c r="F26" s="495"/>
      <c r="G26" s="495"/>
      <c r="H26" s="495"/>
      <c r="I26" s="495"/>
      <c r="J26" s="495"/>
      <c r="K26" s="450"/>
      <c r="L26" s="825"/>
    </row>
    <row r="27" spans="2:20" ht="21" customHeight="1" thickBot="1">
      <c r="B27" s="248" t="str">
        <f>IF('KEY INPUTS'!C42 = "State Fiscal Year", 'KEY INPUTS'!F26,'KEY INPUTS'!D26)</f>
        <v>Balance - December 31, 2024</v>
      </c>
      <c r="C27" s="248"/>
      <c r="D27" s="248"/>
      <c r="E27" s="248"/>
      <c r="F27" s="248"/>
      <c r="G27" s="248"/>
      <c r="H27" s="248"/>
      <c r="I27" s="248"/>
      <c r="J27" s="248"/>
      <c r="K27" s="783">
        <f>+SUM(L20:L26)-SUM(K21:K26)</f>
        <v>641956.58000000007</v>
      </c>
      <c r="L27" s="906" t="s">
        <v>627</v>
      </c>
      <c r="N27" s="593" t="s">
        <v>3246</v>
      </c>
    </row>
    <row r="28" spans="2:20" ht="21" customHeight="1" thickBot="1">
      <c r="K28" s="785">
        <f>SUM(K21:K27)</f>
        <v>761241.58000000007</v>
      </c>
      <c r="L28" s="786">
        <f>SUM(L20:L27)</f>
        <v>761241.58000000007</v>
      </c>
    </row>
    <row r="29" spans="2:20" ht="13.8" thickTop="1"/>
    <row r="32" spans="2:20" ht="17.399999999999999">
      <c r="B32" s="1380" t="str">
        <f>"ANALYSIS  OF  BALANCE  "&amp;IF('KEY INPUTS'!C42="State Fiscal Year","JUNE  30,  "&amp;'KEY INPUTS'!D33&amp;"","DECEMBER 31, "&amp;'KEY INPUTS'!D34&amp;"")</f>
        <v>ANALYSIS  OF  BALANCE  DECEMBER 31, 2024</v>
      </c>
      <c r="C32" s="1380"/>
      <c r="D32" s="1380"/>
      <c r="E32" s="1380"/>
      <c r="F32" s="1380"/>
      <c r="G32" s="1380"/>
      <c r="H32" s="1380"/>
      <c r="I32" s="1380"/>
      <c r="J32" s="1380"/>
      <c r="K32" s="1380"/>
      <c r="L32" s="1380"/>
    </row>
    <row r="33" spans="2:14" ht="17.399999999999999">
      <c r="B33" s="1380" t="str">
        <f>"(FROM "&amp;UPPER('KEY INPUTS'!D55)&amp;" UTILITY  -  TRIAL  BALANCE)"</f>
        <v>(FROM SEWER UTILITY  -  TRIAL  BALANCE)</v>
      </c>
      <c r="C33" s="1380"/>
      <c r="D33" s="1380"/>
      <c r="E33" s="1380"/>
      <c r="F33" s="1380"/>
      <c r="G33" s="1380"/>
      <c r="H33" s="1380"/>
      <c r="I33" s="1380"/>
      <c r="J33" s="1380"/>
      <c r="K33" s="1380"/>
      <c r="L33" s="1380"/>
    </row>
    <row r="34" spans="2:14" ht="13.8" thickBot="1"/>
    <row r="35" spans="2:14" ht="21" customHeight="1" thickTop="1">
      <c r="B35" s="313" t="s">
        <v>194</v>
      </c>
      <c r="C35" s="313"/>
      <c r="D35" s="313"/>
      <c r="E35" s="313"/>
      <c r="F35" s="313"/>
      <c r="G35" s="313"/>
      <c r="H35" s="313"/>
      <c r="I35" s="313"/>
      <c r="J35" s="313"/>
      <c r="K35" s="409"/>
      <c r="L35" s="833">
        <f>+'41-Utility2'!G13</f>
        <v>926946.19</v>
      </c>
    </row>
    <row r="36" spans="2:14" ht="21" customHeight="1">
      <c r="B36" s="248" t="s">
        <v>315</v>
      </c>
      <c r="C36" s="248"/>
      <c r="D36" s="248"/>
      <c r="E36" s="248"/>
      <c r="F36" s="248"/>
      <c r="G36" s="248"/>
      <c r="H36" s="248"/>
      <c r="I36" s="248"/>
      <c r="J36" s="248"/>
      <c r="K36" s="407"/>
      <c r="L36" s="479"/>
    </row>
    <row r="37" spans="2:14" ht="21" customHeight="1" thickBot="1">
      <c r="B37" s="248" t="s">
        <v>663</v>
      </c>
      <c r="C37" s="248"/>
      <c r="D37" s="248"/>
      <c r="E37" s="248"/>
      <c r="F37" s="248"/>
      <c r="G37" s="248"/>
      <c r="H37" s="248"/>
      <c r="I37" s="248"/>
      <c r="J37" s="248"/>
      <c r="K37" s="407"/>
      <c r="L37" s="481">
        <v>58664.58</v>
      </c>
    </row>
    <row r="38" spans="2:14" ht="21" customHeight="1" thickTop="1">
      <c r="B38" s="248"/>
      <c r="C38" s="248"/>
      <c r="D38" s="248" t="s">
        <v>317</v>
      </c>
      <c r="E38" s="248"/>
      <c r="F38" s="248"/>
      <c r="G38" s="248"/>
      <c r="H38" s="248"/>
      <c r="I38" s="248"/>
      <c r="J38" s="248"/>
      <c r="K38" s="407"/>
      <c r="L38" s="834">
        <f>SUM(L35:L37)</f>
        <v>985610.7699999999</v>
      </c>
    </row>
    <row r="39" spans="2:14" ht="21" customHeight="1" thickBot="1">
      <c r="B39" s="248" t="s">
        <v>362</v>
      </c>
      <c r="C39" s="248"/>
      <c r="D39" s="248"/>
      <c r="E39" s="248"/>
      <c r="F39" s="248"/>
      <c r="G39" s="248"/>
      <c r="H39" s="248"/>
      <c r="I39" s="248"/>
      <c r="J39" s="248"/>
      <c r="K39" s="407"/>
      <c r="L39" s="835">
        <f>+'41-Utility2'!H39</f>
        <v>343654.19</v>
      </c>
    </row>
    <row r="40" spans="2:14" ht="21" customHeight="1" thickTop="1">
      <c r="B40" s="248"/>
      <c r="C40" s="248"/>
      <c r="D40" s="248" t="s">
        <v>207</v>
      </c>
      <c r="E40" s="248"/>
      <c r="F40" s="248"/>
      <c r="G40" s="248"/>
      <c r="H40" s="248"/>
      <c r="I40" s="248"/>
      <c r="J40" s="248"/>
      <c r="K40" s="407"/>
      <c r="L40" s="834">
        <f>+L38-L39</f>
        <v>641956.57999999984</v>
      </c>
    </row>
    <row r="41" spans="2:14" ht="21" customHeight="1">
      <c r="B41" s="248" t="s">
        <v>369</v>
      </c>
      <c r="C41" s="248"/>
      <c r="D41" s="248"/>
      <c r="E41" s="248"/>
      <c r="F41" s="248"/>
      <c r="G41" s="248"/>
      <c r="H41" s="248"/>
      <c r="I41" s="248"/>
      <c r="J41" s="248"/>
      <c r="K41" s="312"/>
      <c r="L41" s="777"/>
    </row>
    <row r="42" spans="2:14" ht="22.5" customHeight="1">
      <c r="B42" s="248"/>
      <c r="C42" s="1379" t="s">
        <v>365</v>
      </c>
      <c r="D42" s="1379"/>
      <c r="E42" s="1379"/>
      <c r="F42" s="1379"/>
      <c r="G42" s="1379"/>
      <c r="H42" s="838"/>
      <c r="I42" s="248"/>
      <c r="J42" s="248"/>
      <c r="K42" s="450"/>
      <c r="L42" s="777"/>
    </row>
    <row r="43" spans="2:14" ht="21" customHeight="1">
      <c r="B43" s="248"/>
      <c r="C43" s="248" t="s">
        <v>208</v>
      </c>
      <c r="D43" s="248"/>
      <c r="E43" s="248"/>
      <c r="F43" s="248"/>
      <c r="G43" s="248"/>
      <c r="H43" s="248"/>
      <c r="I43" s="248"/>
      <c r="J43" s="248"/>
      <c r="K43" s="450"/>
      <c r="L43" s="777"/>
      <c r="M43" s="301"/>
      <c r="N43" s="301"/>
    </row>
    <row r="44" spans="2:14" ht="21" customHeight="1" thickBot="1">
      <c r="B44" s="248"/>
      <c r="C44" s="248"/>
      <c r="D44" s="248" t="s">
        <v>367</v>
      </c>
      <c r="E44" s="248"/>
      <c r="F44" s="248"/>
      <c r="G44" s="248"/>
      <c r="H44" s="248"/>
      <c r="I44" s="248"/>
      <c r="J44" s="248"/>
      <c r="K44" s="837"/>
      <c r="L44" s="784">
        <f>SUM(K42:K43)</f>
        <v>0</v>
      </c>
    </row>
    <row r="45" spans="2:14" ht="21" customHeight="1" thickBot="1">
      <c r="B45" s="361" t="str">
        <f>"# MAY NOT BE ANTICIPATED AS NON-CASH SURPLUS IN "&amp;TEXT('KEY INPUTS'!D34,"0")&amp;" BUDGET."</f>
        <v># MAY NOT BE ANTICIPATED AS NON-CASH SURPLUS IN 2024 BUDGET.</v>
      </c>
      <c r="K45" s="360"/>
      <c r="L45" s="836">
        <f>+L40+L44</f>
        <v>641956.57999999984</v>
      </c>
      <c r="M45" s="301"/>
      <c r="N45" s="593" t="s">
        <v>3246</v>
      </c>
    </row>
    <row r="46" spans="2:14" ht="13.8" thickTop="1">
      <c r="B46" s="359" t="s">
        <v>213</v>
      </c>
      <c r="C46" s="359"/>
    </row>
    <row r="47" spans="2:14">
      <c r="B47" s="359"/>
      <c r="C47" s="359" t="s">
        <v>3160</v>
      </c>
    </row>
    <row r="52" spans="2:12" ht="13.8">
      <c r="B52" s="1353" t="s">
        <v>3159</v>
      </c>
      <c r="C52" s="1353"/>
      <c r="D52" s="1353"/>
      <c r="E52" s="1353"/>
      <c r="F52" s="1353"/>
      <c r="G52" s="1353"/>
      <c r="H52" s="1353"/>
      <c r="I52" s="1353"/>
      <c r="J52" s="1353"/>
      <c r="K52" s="1353"/>
      <c r="L52" s="1353"/>
    </row>
  </sheetData>
  <sheetProtection algorithmName="SHA-512" hashValue="T1y5k1v43ClVma64Qux8ih1Sx+E5NDIrv8H60EY+U3hZU/UQsdx9uq6eQvZuamOtLw2Lw10y1qxCebBxDL5Kcw==" saltValue="cH0Swg8tMRCUdxX39+n2Aw==" spinCount="100000" sheet="1" objects="1" scenarios="1"/>
  <mergeCells count="8">
    <mergeCell ref="B52:L52"/>
    <mergeCell ref="B2:L2"/>
    <mergeCell ref="B17:L17"/>
    <mergeCell ref="B32:L32"/>
    <mergeCell ref="B33:L33"/>
    <mergeCell ref="C42:G42"/>
    <mergeCell ref="L24:L25"/>
    <mergeCell ref="K24:K25"/>
  </mergeCells>
  <pageMargins left="0.25" right="0.25" top="0.5" bottom="0.5" header="0.25" footer="0.25"/>
  <pageSetup paperSize="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76411-D48D-41BD-A275-FF3EC88141D9}">
  <sheetPr codeName="Sheet19"/>
  <dimension ref="B3:M48"/>
  <sheetViews>
    <sheetView zoomScaleNormal="100" workbookViewId="0">
      <selection activeCell="Q15" sqref="Q15"/>
    </sheetView>
  </sheetViews>
  <sheetFormatPr defaultColWidth="9.109375" defaultRowHeight="13.2"/>
  <cols>
    <col min="1" max="1" width="4.6640625" customWidth="1"/>
    <col min="2" max="2" width="4.88671875" customWidth="1"/>
    <col min="3" max="4" width="4.6640625" customWidth="1"/>
    <col min="5" max="5" width="30.6640625" customWidth="1"/>
    <col min="6" max="6" width="15.6640625" customWidth="1"/>
    <col min="7" max="8" width="18.6640625" customWidth="1"/>
    <col min="13" max="13" width="10.33203125" bestFit="1" customWidth="1"/>
  </cols>
  <sheetData>
    <row r="3" spans="2:11" ht="22.8">
      <c r="B3" s="1176" t="s">
        <v>424</v>
      </c>
      <c r="C3" s="1176"/>
      <c r="D3" s="1176"/>
      <c r="E3" s="1176"/>
      <c r="F3" s="1176"/>
      <c r="G3" s="1176"/>
      <c r="H3" s="1176"/>
    </row>
    <row r="4" spans="2:11" ht="22.8">
      <c r="B4" s="1176" t="s">
        <v>3612</v>
      </c>
      <c r="C4" s="1176"/>
      <c r="D4" s="1176"/>
      <c r="E4" s="1176"/>
      <c r="F4" s="1176"/>
      <c r="G4" s="1176"/>
      <c r="H4" s="1176"/>
    </row>
    <row r="5" spans="2:11" ht="17.399999999999999">
      <c r="B5" s="1186" t="s">
        <v>620</v>
      </c>
      <c r="C5" s="1186"/>
      <c r="D5" s="1186"/>
      <c r="E5" s="1186"/>
      <c r="F5" s="1186"/>
      <c r="G5" s="1186"/>
      <c r="H5" s="1186"/>
    </row>
    <row r="6" spans="2:11" ht="15.6">
      <c r="B6" s="1182" t="str">
        <f>IF('KEY INPUTS'!C42 = "State Fiscal Year", 'KEY INPUTS'!F45,'KEY INPUTS'!D45)</f>
        <v>AS  AT  DECEMBER  31, 2024</v>
      </c>
      <c r="C6" s="1132"/>
      <c r="D6" s="1132"/>
      <c r="E6" s="1132"/>
      <c r="F6" s="1132"/>
      <c r="G6" s="1132"/>
      <c r="H6" s="1132"/>
    </row>
    <row r="7" spans="2:11" ht="13.8" thickBot="1"/>
    <row r="8" spans="2:11" ht="36" customHeight="1" thickTop="1" thickBot="1">
      <c r="B8" s="1189" t="s">
        <v>95</v>
      </c>
      <c r="C8" s="1179"/>
      <c r="D8" s="1179"/>
      <c r="E8" s="1179"/>
      <c r="F8" s="1180"/>
      <c r="G8" s="4" t="s">
        <v>96</v>
      </c>
      <c r="H8" s="3" t="s">
        <v>97</v>
      </c>
    </row>
    <row r="9" spans="2:11" ht="21" customHeight="1" thickTop="1">
      <c r="B9" s="239" t="s">
        <v>3248</v>
      </c>
      <c r="G9" s="627">
        <f>+'6.3-Trial Bal-Trust Fnds'!G44</f>
        <v>329057.32</v>
      </c>
      <c r="H9" s="628">
        <f>+'6.3-Trial Bal-Trust Fnds'!H44</f>
        <v>329057.32</v>
      </c>
      <c r="I9" s="575"/>
    </row>
    <row r="10" spans="2:11" ht="21" customHeight="1">
      <c r="B10" s="263" t="s">
        <v>3247</v>
      </c>
      <c r="C10" s="5"/>
      <c r="D10" s="5"/>
      <c r="E10" s="5"/>
      <c r="F10" s="5"/>
      <c r="G10" s="629"/>
      <c r="H10" s="509"/>
    </row>
    <row r="11" spans="2:11" ht="21" customHeight="1">
      <c r="B11" s="417"/>
      <c r="C11" s="417"/>
      <c r="D11" s="417"/>
      <c r="E11" s="417"/>
      <c r="F11" s="417"/>
      <c r="G11" s="291"/>
      <c r="H11" s="429"/>
      <c r="I11" s="575"/>
    </row>
    <row r="12" spans="2:11" ht="21" customHeight="1">
      <c r="B12" s="417"/>
      <c r="C12" s="417"/>
      <c r="D12" s="417"/>
      <c r="E12" s="417"/>
      <c r="F12" s="417"/>
      <c r="G12" s="291"/>
      <c r="H12" s="429"/>
    </row>
    <row r="13" spans="2:11" ht="21" customHeight="1">
      <c r="B13" s="417"/>
      <c r="C13" s="417"/>
      <c r="D13" s="417"/>
      <c r="E13" s="417"/>
      <c r="F13" s="417"/>
      <c r="G13" s="291"/>
      <c r="H13" s="429"/>
    </row>
    <row r="14" spans="2:11" ht="21" customHeight="1">
      <c r="B14" s="417"/>
      <c r="C14" s="417"/>
      <c r="D14" s="417"/>
      <c r="E14" s="417"/>
      <c r="F14" s="417"/>
      <c r="G14" s="291"/>
      <c r="H14" s="429"/>
      <c r="K14" s="294"/>
    </row>
    <row r="15" spans="2:11" ht="21" customHeight="1">
      <c r="B15" s="417"/>
      <c r="C15" s="417"/>
      <c r="D15" s="417"/>
      <c r="E15" s="417"/>
      <c r="F15" s="417"/>
      <c r="G15" s="291"/>
      <c r="H15" s="429"/>
    </row>
    <row r="16" spans="2:11" ht="21" customHeight="1">
      <c r="B16" s="417"/>
      <c r="C16" s="417"/>
      <c r="D16" s="417"/>
      <c r="E16" s="417"/>
      <c r="F16" s="417"/>
      <c r="G16" s="291"/>
      <c r="H16" s="429"/>
    </row>
    <row r="17" spans="2:8" ht="21" customHeight="1">
      <c r="B17" s="417"/>
      <c r="C17" s="417"/>
      <c r="D17" s="417"/>
      <c r="E17" s="417"/>
      <c r="F17" s="417"/>
      <c r="G17" s="291"/>
      <c r="H17" s="429"/>
    </row>
    <row r="18" spans="2:8" ht="21" customHeight="1">
      <c r="B18" s="417"/>
      <c r="C18" s="417"/>
      <c r="D18" s="417"/>
      <c r="E18" s="417"/>
      <c r="F18" s="417"/>
      <c r="G18" s="291"/>
      <c r="H18" s="429"/>
    </row>
    <row r="19" spans="2:8" ht="21" customHeight="1">
      <c r="B19" s="417"/>
      <c r="C19" s="417"/>
      <c r="D19" s="417"/>
      <c r="E19" s="417"/>
      <c r="F19" s="417"/>
      <c r="G19" s="291"/>
      <c r="H19" s="429"/>
    </row>
    <row r="20" spans="2:8" ht="21" customHeight="1">
      <c r="B20" s="417"/>
      <c r="C20" s="417"/>
      <c r="D20" s="417"/>
      <c r="E20" s="417"/>
      <c r="F20" s="417"/>
      <c r="G20" s="291"/>
      <c r="H20" s="429"/>
    </row>
    <row r="21" spans="2:8" ht="21" customHeight="1">
      <c r="B21" s="417"/>
      <c r="C21" s="417"/>
      <c r="D21" s="417"/>
      <c r="E21" s="417"/>
      <c r="F21" s="417"/>
      <c r="G21" s="291"/>
      <c r="H21" s="429"/>
    </row>
    <row r="22" spans="2:8" ht="21" customHeight="1">
      <c r="B22" s="417"/>
      <c r="C22" s="417"/>
      <c r="D22" s="417"/>
      <c r="E22" s="417"/>
      <c r="F22" s="417"/>
      <c r="G22" s="291"/>
      <c r="H22" s="429"/>
    </row>
    <row r="23" spans="2:8" ht="21" customHeight="1">
      <c r="B23" s="417"/>
      <c r="C23" s="417"/>
      <c r="D23" s="417"/>
      <c r="E23" s="417"/>
      <c r="F23" s="417"/>
      <c r="G23" s="291"/>
      <c r="H23" s="429"/>
    </row>
    <row r="24" spans="2:8" ht="21" customHeight="1">
      <c r="B24" s="417"/>
      <c r="C24" s="417"/>
      <c r="D24" s="417"/>
      <c r="E24" s="417"/>
      <c r="F24" s="417"/>
      <c r="G24" s="291"/>
      <c r="H24" s="429"/>
    </row>
    <row r="25" spans="2:8" ht="21" customHeight="1">
      <c r="B25" s="417"/>
      <c r="C25" s="417"/>
      <c r="D25" s="417"/>
      <c r="E25" s="417"/>
      <c r="F25" s="417"/>
      <c r="G25" s="291"/>
      <c r="H25" s="429"/>
    </row>
    <row r="26" spans="2:8" ht="21" customHeight="1">
      <c r="B26" s="417"/>
      <c r="C26" s="417"/>
      <c r="D26" s="417"/>
      <c r="E26" s="417"/>
      <c r="F26" s="417"/>
      <c r="G26" s="291"/>
      <c r="H26" s="429"/>
    </row>
    <row r="27" spans="2:8" ht="21" customHeight="1">
      <c r="B27" s="417"/>
      <c r="C27" s="417"/>
      <c r="D27" s="417"/>
      <c r="E27" s="417"/>
      <c r="F27" s="417"/>
      <c r="G27" s="291"/>
      <c r="H27" s="429"/>
    </row>
    <row r="28" spans="2:8" ht="21" customHeight="1">
      <c r="B28" s="417"/>
      <c r="C28" s="417"/>
      <c r="D28" s="417"/>
      <c r="E28" s="417"/>
      <c r="F28" s="417"/>
      <c r="G28" s="291"/>
      <c r="H28" s="429"/>
    </row>
    <row r="29" spans="2:8" ht="21" customHeight="1">
      <c r="B29" s="417"/>
      <c r="C29" s="417"/>
      <c r="D29" s="417"/>
      <c r="E29" s="417"/>
      <c r="F29" s="417"/>
      <c r="G29" s="291"/>
      <c r="H29" s="429"/>
    </row>
    <row r="30" spans="2:8" ht="21" customHeight="1">
      <c r="B30" s="417"/>
      <c r="C30" s="417"/>
      <c r="D30" s="417"/>
      <c r="E30" s="417"/>
      <c r="F30" s="417"/>
      <c r="G30" s="291"/>
      <c r="H30" s="429"/>
    </row>
    <row r="31" spans="2:8" ht="21" customHeight="1">
      <c r="B31" s="417"/>
      <c r="C31" s="417"/>
      <c r="D31" s="417"/>
      <c r="E31" s="417"/>
      <c r="F31" s="417"/>
      <c r="G31" s="291"/>
      <c r="H31" s="429"/>
    </row>
    <row r="32" spans="2:8" ht="21" customHeight="1">
      <c r="B32" s="417"/>
      <c r="C32" s="417"/>
      <c r="D32" s="417"/>
      <c r="E32" s="417"/>
      <c r="F32" s="417"/>
      <c r="G32" s="291"/>
      <c r="H32" s="429"/>
    </row>
    <row r="33" spans="2:13" ht="21" customHeight="1">
      <c r="B33" s="417"/>
      <c r="C33" s="417"/>
      <c r="D33" s="417"/>
      <c r="E33" s="417"/>
      <c r="F33" s="417"/>
      <c r="G33" s="291"/>
      <c r="H33" s="429"/>
      <c r="M33" s="204"/>
    </row>
    <row r="34" spans="2:13" ht="21" customHeight="1">
      <c r="B34" s="417"/>
      <c r="C34" s="417"/>
      <c r="D34" s="417"/>
      <c r="E34" s="417"/>
      <c r="F34" s="417"/>
      <c r="G34" s="291"/>
      <c r="H34" s="429"/>
    </row>
    <row r="35" spans="2:13" ht="21" customHeight="1">
      <c r="B35" s="417"/>
      <c r="C35" s="417"/>
      <c r="D35" s="417"/>
      <c r="E35" s="417"/>
      <c r="F35" s="417"/>
      <c r="G35" s="291"/>
      <c r="H35" s="429"/>
    </row>
    <row r="36" spans="2:13" ht="21" customHeight="1">
      <c r="B36" s="417"/>
      <c r="C36" s="417"/>
      <c r="D36" s="417"/>
      <c r="E36" s="417"/>
      <c r="F36" s="417"/>
      <c r="G36" s="291"/>
      <c r="H36" s="429"/>
    </row>
    <row r="37" spans="2:13" ht="21" customHeight="1">
      <c r="B37" s="417"/>
      <c r="C37" s="417"/>
      <c r="D37" s="417"/>
      <c r="E37" s="417"/>
      <c r="F37" s="417"/>
      <c r="G37" s="291"/>
      <c r="H37" s="429"/>
    </row>
    <row r="38" spans="2:13" ht="21" customHeight="1">
      <c r="B38" s="417"/>
      <c r="C38" s="417"/>
      <c r="D38" s="417"/>
      <c r="E38" s="417"/>
      <c r="F38" s="417"/>
      <c r="G38" s="291"/>
      <c r="H38" s="429"/>
    </row>
    <row r="39" spans="2:13" ht="21" customHeight="1">
      <c r="B39" s="417"/>
      <c r="C39" s="417"/>
      <c r="D39" s="417"/>
      <c r="E39" s="417"/>
      <c r="F39" s="417"/>
      <c r="G39" s="291"/>
      <c r="H39" s="429"/>
    </row>
    <row r="40" spans="2:13" ht="21" customHeight="1">
      <c r="B40" s="417"/>
      <c r="C40" s="417"/>
      <c r="D40" s="417"/>
      <c r="E40" s="417"/>
      <c r="F40" s="417"/>
      <c r="G40" s="291"/>
      <c r="H40" s="429"/>
    </row>
    <row r="41" spans="2:13" ht="21" customHeight="1">
      <c r="B41" s="417"/>
      <c r="C41" s="417"/>
      <c r="D41" s="417"/>
      <c r="E41" s="417"/>
      <c r="F41" s="417"/>
      <c r="G41" s="291"/>
      <c r="H41" s="429"/>
    </row>
    <row r="42" spans="2:13" ht="21" customHeight="1">
      <c r="B42" s="417"/>
      <c r="C42" s="417"/>
      <c r="D42" s="417"/>
      <c r="E42" s="417"/>
      <c r="F42" s="417"/>
      <c r="G42" s="291"/>
      <c r="H42" s="429"/>
    </row>
    <row r="43" spans="2:13" ht="21" customHeight="1">
      <c r="B43" s="417"/>
      <c r="C43" s="417"/>
      <c r="D43" s="417"/>
      <c r="E43" s="417"/>
      <c r="F43" s="417"/>
      <c r="G43" s="291"/>
      <c r="H43" s="429"/>
    </row>
    <row r="44" spans="2:13" ht="21" customHeight="1">
      <c r="B44" s="263" t="s">
        <v>798</v>
      </c>
      <c r="C44" s="5"/>
      <c r="D44" s="5"/>
      <c r="E44" s="5"/>
      <c r="F44" s="5"/>
      <c r="G44" s="629">
        <f>SUM(G9:G43)</f>
        <v>329057.32</v>
      </c>
      <c r="H44" s="636">
        <f>SUM(H9:H43)</f>
        <v>329057.32</v>
      </c>
    </row>
    <row r="45" spans="2:13">
      <c r="B45" s="1158" t="s">
        <v>98</v>
      </c>
      <c r="C45" s="1158"/>
      <c r="D45" s="1158"/>
      <c r="E45" s="1158"/>
      <c r="F45" s="1158"/>
      <c r="G45" s="1158"/>
      <c r="H45" s="1158"/>
    </row>
    <row r="46" spans="2:13">
      <c r="B46" s="1"/>
      <c r="C46" s="1"/>
      <c r="D46" s="1"/>
      <c r="E46" s="1"/>
      <c r="F46" s="1"/>
      <c r="G46" s="1"/>
      <c r="H46" s="1"/>
    </row>
    <row r="48" spans="2:13" ht="13.8">
      <c r="B48" s="1130" t="s">
        <v>3252</v>
      </c>
      <c r="C48" s="1130"/>
      <c r="D48" s="1130"/>
      <c r="E48" s="1130"/>
      <c r="F48" s="1130"/>
      <c r="G48" s="1130"/>
      <c r="H48" s="1130"/>
    </row>
  </sheetData>
  <sheetProtection algorithmName="SHA-512" hashValue="2Kqsyps2T/h502c1hAFnaDp7Yhju2CzynVR/VEJlJzFzSdayW8k3m9v0TJxGqWrf3bObcB42gLdbQ0zn25Bazw==" saltValue="J+YI1GlobdrP5iMU/KL8Kg=="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24868-7F65-4506-986C-78F41509F6F7}">
  <sheetPr codeName="Sheet186">
    <tabColor theme="3" tint="0.39997558519241921"/>
  </sheetPr>
  <dimension ref="B3:T69"/>
  <sheetViews>
    <sheetView zoomScaleNormal="100" zoomScaleSheetLayoutView="80" workbookViewId="0">
      <selection activeCell="L12" sqref="L12"/>
    </sheetView>
  </sheetViews>
  <sheetFormatPr defaultColWidth="9.109375" defaultRowHeight="13.2"/>
  <cols>
    <col min="1" max="4" width="4.6640625" style="267" customWidth="1"/>
    <col min="5" max="8" width="9.109375" style="267"/>
    <col min="9" max="9" width="1.6640625" style="267" customWidth="1"/>
    <col min="10" max="10" width="16.6640625" style="267" customWidth="1"/>
    <col min="11" max="11" width="1.6640625" style="267" customWidth="1"/>
    <col min="12" max="12" width="16.6640625" style="267" customWidth="1"/>
    <col min="13" max="16384" width="9.109375" style="267"/>
  </cols>
  <sheetData>
    <row r="3" spans="2:20" ht="17.399999999999999">
      <c r="B3" s="1386" t="str">
        <f>"SCHEDULE  OF "&amp;UPPER('KEY INPUTS'!D55&amp;"  UTILITY  ACCOUNTS  RECEIVABLE")</f>
        <v>SCHEDULE  OF SEWER  UTILITY  ACCOUNTS  RECEIVABLE</v>
      </c>
      <c r="C3" s="1386"/>
      <c r="D3" s="1386"/>
      <c r="E3" s="1386"/>
      <c r="F3" s="1386"/>
      <c r="G3" s="1386"/>
      <c r="H3" s="1386"/>
      <c r="I3" s="1386"/>
      <c r="J3" s="1386"/>
      <c r="K3" s="1386"/>
      <c r="L3" s="1386"/>
    </row>
    <row r="6" spans="2:20">
      <c r="B6" s="367" t="str">
        <f>IF('KEY INPUTS'!C42="State Fiscal Year","Balance June 30, "&amp;'KEY INPUTS'!D33-1&amp;"","Balance December 31, "&amp;'KEY INPUTS'!D34-1&amp;"")</f>
        <v>Balance December 31, 2023</v>
      </c>
      <c r="J6" s="61"/>
      <c r="K6" s="267" t="s">
        <v>373</v>
      </c>
      <c r="L6" s="431">
        <v>73148.539999999994</v>
      </c>
      <c r="N6"/>
      <c r="O6"/>
      <c r="P6"/>
      <c r="Q6"/>
      <c r="R6"/>
      <c r="S6"/>
      <c r="T6"/>
    </row>
    <row r="7" spans="2:20">
      <c r="J7" s="61"/>
      <c r="K7" s="61"/>
      <c r="L7" s="61"/>
      <c r="N7"/>
      <c r="O7"/>
      <c r="P7"/>
      <c r="Q7"/>
      <c r="R7"/>
      <c r="S7"/>
      <c r="T7"/>
    </row>
    <row r="8" spans="2:20">
      <c r="J8" s="61"/>
      <c r="K8" s="61"/>
      <c r="L8" s="61"/>
      <c r="N8" s="294"/>
      <c r="O8"/>
      <c r="P8"/>
      <c r="Q8"/>
      <c r="R8"/>
      <c r="S8"/>
      <c r="T8"/>
    </row>
    <row r="9" spans="2:20">
      <c r="J9" s="61"/>
      <c r="K9" s="61"/>
      <c r="L9" s="61"/>
      <c r="N9"/>
      <c r="O9"/>
      <c r="P9"/>
      <c r="Q9"/>
      <c r="R9"/>
      <c r="S9"/>
      <c r="T9"/>
    </row>
    <row r="10" spans="2:20">
      <c r="B10" s="267" t="s">
        <v>214</v>
      </c>
      <c r="J10" s="61"/>
      <c r="K10" s="61"/>
      <c r="L10" s="61"/>
      <c r="N10"/>
      <c r="O10"/>
      <c r="P10"/>
      <c r="Q10"/>
      <c r="R10"/>
      <c r="S10"/>
      <c r="T10"/>
    </row>
    <row r="11" spans="2:20">
      <c r="D11" s="267" t="s">
        <v>3479</v>
      </c>
      <c r="G11" s="513"/>
      <c r="J11" s="61"/>
      <c r="K11" s="267" t="s">
        <v>373</v>
      </c>
      <c r="L11" s="431">
        <v>342726.09</v>
      </c>
      <c r="N11"/>
      <c r="O11"/>
      <c r="P11"/>
      <c r="Q11"/>
      <c r="R11"/>
      <c r="S11"/>
      <c r="T11"/>
    </row>
    <row r="12" spans="2:20">
      <c r="J12" s="61"/>
      <c r="K12" s="61"/>
      <c r="L12" s="61"/>
      <c r="N12"/>
      <c r="O12"/>
      <c r="P12"/>
      <c r="Q12"/>
      <c r="R12"/>
      <c r="S12"/>
      <c r="T12"/>
    </row>
    <row r="13" spans="2:20">
      <c r="J13" s="61"/>
      <c r="K13" s="61"/>
      <c r="L13" s="61"/>
      <c r="N13"/>
      <c r="O13"/>
      <c r="P13"/>
      <c r="Q13"/>
      <c r="R13"/>
      <c r="S13"/>
      <c r="T13"/>
    </row>
    <row r="14" spans="2:20">
      <c r="J14" s="61"/>
      <c r="K14" s="61"/>
      <c r="L14" s="61"/>
      <c r="N14"/>
      <c r="O14"/>
      <c r="P14"/>
      <c r="Q14"/>
      <c r="R14"/>
      <c r="S14"/>
      <c r="T14"/>
    </row>
    <row r="15" spans="2:20">
      <c r="B15" s="267" t="s">
        <v>215</v>
      </c>
      <c r="J15" s="61"/>
      <c r="K15" s="61"/>
      <c r="L15" s="61"/>
      <c r="N15"/>
      <c r="O15"/>
      <c r="P15"/>
      <c r="Q15"/>
      <c r="R15"/>
      <c r="S15"/>
      <c r="T15"/>
    </row>
    <row r="16" spans="2:20" ht="21" customHeight="1">
      <c r="D16" s="267" t="s">
        <v>216</v>
      </c>
      <c r="I16" s="267" t="s">
        <v>373</v>
      </c>
      <c r="J16" s="431">
        <v>342726.09</v>
      </c>
      <c r="K16" s="61"/>
      <c r="L16" s="61"/>
      <c r="N16"/>
      <c r="O16"/>
      <c r="P16"/>
      <c r="Q16"/>
      <c r="R16"/>
      <c r="S16"/>
      <c r="T16"/>
    </row>
    <row r="17" spans="2:20" ht="21" customHeight="1">
      <c r="D17" s="267" t="s">
        <v>217</v>
      </c>
      <c r="I17" s="267" t="s">
        <v>373</v>
      </c>
      <c r="J17" s="431"/>
      <c r="K17" s="61"/>
      <c r="L17" s="61"/>
      <c r="N17"/>
      <c r="O17"/>
      <c r="P17"/>
      <c r="Q17"/>
      <c r="R17"/>
      <c r="S17"/>
      <c r="T17"/>
    </row>
    <row r="18" spans="2:20" ht="21" customHeight="1">
      <c r="D18" s="267" t="s">
        <v>3483</v>
      </c>
      <c r="I18" s="267" t="s">
        <v>373</v>
      </c>
      <c r="J18" s="431"/>
      <c r="K18" s="61"/>
      <c r="L18" s="61"/>
      <c r="N18"/>
      <c r="O18"/>
      <c r="P18"/>
      <c r="Q18"/>
      <c r="R18"/>
      <c r="S18"/>
      <c r="T18"/>
    </row>
    <row r="19" spans="2:20" ht="21" customHeight="1">
      <c r="D19" s="267" t="s">
        <v>218</v>
      </c>
      <c r="I19" s="267" t="s">
        <v>373</v>
      </c>
      <c r="J19" s="431"/>
      <c r="K19" s="61"/>
      <c r="L19" s="61"/>
      <c r="N19"/>
      <c r="O19"/>
      <c r="P19"/>
      <c r="Q19"/>
      <c r="R19"/>
      <c r="S19"/>
      <c r="T19"/>
    </row>
    <row r="20" spans="2:20">
      <c r="J20" s="61"/>
      <c r="K20" s="61"/>
      <c r="L20" s="61"/>
      <c r="N20"/>
      <c r="O20"/>
      <c r="P20"/>
      <c r="Q20"/>
      <c r="R20"/>
      <c r="S20"/>
      <c r="T20"/>
    </row>
    <row r="21" spans="2:20">
      <c r="J21" s="61"/>
      <c r="K21" s="267" t="s">
        <v>373</v>
      </c>
      <c r="L21" s="63">
        <f>SUM(J16:J19)</f>
        <v>342726.09</v>
      </c>
      <c r="N21"/>
      <c r="O21"/>
      <c r="P21"/>
      <c r="Q21"/>
      <c r="R21"/>
      <c r="S21"/>
      <c r="T21"/>
    </row>
    <row r="22" spans="2:20">
      <c r="J22" s="61"/>
      <c r="K22" s="61"/>
      <c r="L22" s="61"/>
      <c r="N22"/>
      <c r="O22"/>
      <c r="P22"/>
      <c r="Q22"/>
      <c r="R22"/>
      <c r="S22"/>
      <c r="T22"/>
    </row>
    <row r="23" spans="2:20">
      <c r="J23" s="61"/>
      <c r="K23" s="61"/>
      <c r="L23" s="61"/>
    </row>
    <row r="24" spans="2:20" ht="13.8" thickBot="1">
      <c r="B24" s="367" t="str">
        <f>IF('KEY INPUTS'!C42="State Fiscal Year","Balance June 30, "&amp;'KEY INPUTS'!D33&amp;"","Balance December 31, "&amp;'KEY INPUTS'!D34&amp;"")</f>
        <v>Balance December 31, 2024</v>
      </c>
      <c r="J24" s="61"/>
      <c r="K24" s="267" t="s">
        <v>373</v>
      </c>
      <c r="L24" s="80">
        <f>+L6+L11-L21</f>
        <v>73148.539999999979</v>
      </c>
    </row>
    <row r="25" spans="2:20" ht="13.8" thickTop="1"/>
    <row r="28" spans="2:20">
      <c r="B28" s="333"/>
      <c r="C28" s="333"/>
      <c r="D28" s="333"/>
      <c r="E28" s="333"/>
      <c r="F28" s="333"/>
      <c r="G28" s="333"/>
      <c r="H28" s="333"/>
      <c r="I28" s="333"/>
      <c r="J28" s="333"/>
      <c r="K28" s="333"/>
      <c r="L28" s="333"/>
    </row>
    <row r="29" spans="2:20" ht="4.5" customHeight="1">
      <c r="B29" s="333"/>
      <c r="C29" s="333"/>
      <c r="D29" s="333"/>
      <c r="E29" s="333"/>
      <c r="F29" s="333"/>
      <c r="G29" s="333"/>
      <c r="H29" s="333"/>
      <c r="I29" s="333"/>
      <c r="J29" s="333"/>
      <c r="K29" s="333"/>
      <c r="L29" s="333"/>
    </row>
    <row r="33" spans="2:12" ht="17.399999999999999">
      <c r="B33" s="1380" t="str">
        <f>"SCHEDULE  OF "&amp;UPPER('KEY INPUTS'!D55)&amp;" UTILITY  LIENS"</f>
        <v>SCHEDULE  OF SEWER UTILITY  LIENS</v>
      </c>
      <c r="C33" s="1380"/>
      <c r="D33" s="1380"/>
      <c r="E33" s="1380"/>
      <c r="F33" s="1380"/>
      <c r="G33" s="1380"/>
      <c r="H33" s="1380"/>
      <c r="I33" s="1380"/>
      <c r="J33" s="1380"/>
      <c r="K33" s="1380"/>
      <c r="L33" s="1380"/>
    </row>
    <row r="36" spans="2:12">
      <c r="B36" s="367" t="str">
        <f>IF('KEY INPUTS'!C42="State Fiscal Year","Balance June 30, "&amp;'KEY INPUTS'!D33-1&amp;"","Balance December 31, "&amp;'KEY INPUTS'!D34-1&amp;"")</f>
        <v>Balance December 31, 2023</v>
      </c>
      <c r="I36" s="61"/>
      <c r="J36" s="61"/>
      <c r="K36" s="61" t="s">
        <v>373</v>
      </c>
      <c r="L36" s="431"/>
    </row>
    <row r="37" spans="2:12">
      <c r="I37" s="61"/>
      <c r="J37" s="61"/>
      <c r="K37" s="61"/>
      <c r="L37" s="61"/>
    </row>
    <row r="38" spans="2:12">
      <c r="I38" s="61"/>
      <c r="J38" s="61"/>
      <c r="K38" s="61"/>
      <c r="L38" s="61"/>
    </row>
    <row r="39" spans="2:12">
      <c r="I39" s="61"/>
      <c r="J39" s="61"/>
      <c r="K39" s="61"/>
      <c r="L39" s="61"/>
    </row>
    <row r="40" spans="2:12">
      <c r="B40" s="267" t="s">
        <v>214</v>
      </c>
      <c r="I40" s="61"/>
      <c r="J40" s="61"/>
      <c r="K40" s="61"/>
      <c r="L40" s="61"/>
    </row>
    <row r="41" spans="2:12" ht="21" customHeight="1">
      <c r="D41" s="267" t="s">
        <v>219</v>
      </c>
      <c r="I41" s="267" t="s">
        <v>373</v>
      </c>
      <c r="J41" s="431"/>
      <c r="K41" s="61"/>
      <c r="L41" s="61"/>
    </row>
    <row r="42" spans="2:12" ht="21" customHeight="1">
      <c r="D42" s="267" t="s">
        <v>220</v>
      </c>
      <c r="I42" s="267" t="s">
        <v>373</v>
      </c>
      <c r="J42" s="431"/>
      <c r="K42" s="61"/>
      <c r="L42" s="61"/>
    </row>
    <row r="43" spans="2:12" ht="21" customHeight="1">
      <c r="D43" s="267" t="s">
        <v>218</v>
      </c>
      <c r="I43" s="267" t="s">
        <v>373</v>
      </c>
      <c r="J43" s="431"/>
      <c r="K43" s="119"/>
      <c r="L43" s="119"/>
    </row>
    <row r="44" spans="2:12">
      <c r="I44" s="61"/>
      <c r="J44" s="61"/>
      <c r="K44" s="61"/>
      <c r="L44" s="61"/>
    </row>
    <row r="45" spans="2:12">
      <c r="I45" s="61"/>
      <c r="J45" s="61"/>
      <c r="K45" s="267" t="s">
        <v>373</v>
      </c>
      <c r="L45" s="63">
        <f>SUM(J41:J43)</f>
        <v>0</v>
      </c>
    </row>
    <row r="46" spans="2:12">
      <c r="I46" s="61"/>
      <c r="J46" s="61"/>
      <c r="K46" s="61"/>
      <c r="L46" s="61"/>
    </row>
    <row r="47" spans="2:12">
      <c r="B47" s="267" t="s">
        <v>215</v>
      </c>
      <c r="I47" s="61"/>
      <c r="J47" s="61"/>
      <c r="K47" s="61"/>
      <c r="L47" s="61"/>
    </row>
    <row r="48" spans="2:12" ht="21" customHeight="1">
      <c r="D48" s="267" t="s">
        <v>216</v>
      </c>
      <c r="I48" s="267" t="s">
        <v>373</v>
      </c>
      <c r="J48" s="431"/>
      <c r="K48" s="61"/>
      <c r="L48" s="61"/>
    </row>
    <row r="49" spans="2:12" ht="21" customHeight="1">
      <c r="D49" s="267" t="s">
        <v>218</v>
      </c>
      <c r="I49" s="267" t="s">
        <v>373</v>
      </c>
      <c r="J49" s="431"/>
      <c r="K49" s="61"/>
      <c r="L49" s="61"/>
    </row>
    <row r="50" spans="2:12">
      <c r="I50" s="61"/>
      <c r="J50" s="61"/>
      <c r="K50" s="61"/>
      <c r="L50" s="61"/>
    </row>
    <row r="51" spans="2:12">
      <c r="I51" s="61"/>
      <c r="J51" s="61"/>
      <c r="K51" s="267" t="s">
        <v>373</v>
      </c>
      <c r="L51" s="63">
        <f>+J49+J48</f>
        <v>0</v>
      </c>
    </row>
    <row r="52" spans="2:12">
      <c r="I52" s="61"/>
      <c r="J52" s="61"/>
      <c r="K52" s="61"/>
      <c r="L52" s="61"/>
    </row>
    <row r="53" spans="2:12">
      <c r="I53" s="61"/>
      <c r="J53" s="61"/>
      <c r="K53" s="61"/>
      <c r="L53" s="61"/>
    </row>
    <row r="54" spans="2:12" ht="13.8" thickBot="1">
      <c r="B54" s="367" t="str">
        <f>IF('KEY INPUTS'!C42="State Fiscal Year","Balance June 30, "&amp;'KEY INPUTS'!D33&amp;"","Balance December 31, "&amp;'KEY INPUTS'!D34&amp;"")</f>
        <v>Balance December 31, 2024</v>
      </c>
      <c r="I54" s="61"/>
      <c r="J54" s="61"/>
      <c r="K54" s="267" t="s">
        <v>373</v>
      </c>
      <c r="L54" s="80">
        <f>+L36+L45-L51</f>
        <v>0</v>
      </c>
    </row>
    <row r="55" spans="2:12" ht="13.8" thickTop="1">
      <c r="I55" s="61"/>
      <c r="J55" s="61"/>
      <c r="K55" s="61"/>
      <c r="L55" s="61"/>
    </row>
    <row r="69" spans="2:12" ht="13.8">
      <c r="B69" s="1353" t="s">
        <v>3163</v>
      </c>
      <c r="C69" s="1353"/>
      <c r="D69" s="1353"/>
      <c r="E69" s="1353"/>
      <c r="F69" s="1353"/>
      <c r="G69" s="1353"/>
      <c r="H69" s="1353"/>
      <c r="I69" s="1353"/>
      <c r="J69" s="1353"/>
      <c r="K69" s="1353"/>
      <c r="L69" s="1353"/>
    </row>
  </sheetData>
  <sheetProtection algorithmName="SHA-512" hashValue="lVmHjXIaiF0Qg1GYQAVBjBg80fZjH9IxsMeAgJiv3NHXixtGC9yLv5CJmz2oJ4bDln5FqcLBJPW6wnca+dpyXw==" saltValue="mMnxHGMGRvPo6PyXIk7jvw=="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58275-D7B0-43E7-B1F9-A471D302764C}">
  <sheetPr codeName="Sheet187">
    <tabColor theme="3" tint="0.39997558519241921"/>
  </sheetPr>
  <dimension ref="B3:W69"/>
  <sheetViews>
    <sheetView topLeftCell="A8" zoomScaleNormal="100" zoomScaleSheetLayoutView="80" workbookViewId="0">
      <selection activeCell="J20" sqref="J20"/>
    </sheetView>
  </sheetViews>
  <sheetFormatPr defaultColWidth="9.109375" defaultRowHeight="13.2"/>
  <cols>
    <col min="1" max="4" width="4.6640625" style="267" customWidth="1"/>
    <col min="5" max="6" width="9.109375" style="267"/>
    <col min="7" max="7" width="1.6640625" style="267" customWidth="1"/>
    <col min="8" max="8" width="14.6640625" style="267" customWidth="1"/>
    <col min="9" max="9" width="1.6640625" style="267" customWidth="1"/>
    <col min="10" max="10" width="14.6640625" style="267" customWidth="1"/>
    <col min="11" max="11" width="1.6640625" style="267" customWidth="1"/>
    <col min="12" max="12" width="14.6640625" style="267" customWidth="1"/>
    <col min="13" max="13" width="1.6640625" style="267" customWidth="1"/>
    <col min="14" max="14" width="14.6640625" style="267" customWidth="1"/>
    <col min="15" max="16384" width="9.109375" style="267"/>
  </cols>
  <sheetData>
    <row r="3" spans="2:23" ht="20.399999999999999">
      <c r="B3" s="1363" t="s">
        <v>868</v>
      </c>
      <c r="C3" s="1363"/>
      <c r="D3" s="1363"/>
      <c r="E3" s="1363"/>
      <c r="F3" s="1363"/>
      <c r="G3" s="1363"/>
      <c r="H3" s="1363"/>
      <c r="I3" s="1363"/>
      <c r="J3" s="1363"/>
      <c r="K3" s="1363"/>
      <c r="L3" s="1363"/>
      <c r="M3" s="1363"/>
      <c r="N3" s="1363"/>
    </row>
    <row r="4" spans="2:23" ht="15.6">
      <c r="B4" s="1391" t="s">
        <v>421</v>
      </c>
      <c r="C4" s="1391"/>
      <c r="D4" s="1391"/>
      <c r="E4" s="1391"/>
      <c r="F4" s="1391"/>
      <c r="G4" s="1391"/>
      <c r="H4" s="1391"/>
      <c r="I4" s="1391"/>
      <c r="J4" s="1391"/>
      <c r="K4" s="1391"/>
      <c r="L4" s="1391"/>
      <c r="M4" s="1391"/>
      <c r="N4" s="1391"/>
    </row>
    <row r="5" spans="2:23" ht="20.399999999999999">
      <c r="B5" s="1363" t="str">
        <f>UPPER('KEY INPUTS'!D55)&amp;" UTILITY  FUND"</f>
        <v>SEWER UTILITY  FUND</v>
      </c>
      <c r="C5" s="1363"/>
      <c r="D5" s="1363"/>
      <c r="E5" s="1363"/>
      <c r="F5" s="1363"/>
      <c r="G5" s="1363"/>
      <c r="H5" s="1363"/>
      <c r="I5" s="1363"/>
      <c r="J5" s="1363"/>
      <c r="K5" s="1363"/>
      <c r="L5" s="1363"/>
      <c r="M5" s="1363"/>
      <c r="N5" s="1363"/>
    </row>
    <row r="6" spans="2:23">
      <c r="B6" s="1392" t="s">
        <v>3572</v>
      </c>
      <c r="C6" s="1392"/>
      <c r="D6" s="1392"/>
      <c r="E6" s="1392"/>
      <c r="F6" s="1392"/>
      <c r="G6" s="1392"/>
      <c r="H6" s="1392"/>
      <c r="I6" s="1392"/>
      <c r="J6" s="1392"/>
      <c r="K6" s="1392"/>
      <c r="L6" s="1392"/>
      <c r="M6" s="1392"/>
      <c r="N6" s="1392"/>
    </row>
    <row r="8" spans="2:23">
      <c r="H8" s="302" t="s">
        <v>414</v>
      </c>
    </row>
    <row r="9" spans="2:23">
      <c r="C9" s="1389" t="s">
        <v>434</v>
      </c>
      <c r="D9" s="1389"/>
      <c r="E9" s="1389"/>
      <c r="H9" s="374" t="str">
        <f>IF('KEY INPUTS'!C42 = "State Fiscal Year", 'KEY INPUTS'!F46,'KEY INPUTS'!D46)</f>
        <v>Dec. 31, 2023</v>
      </c>
      <c r="J9" s="302" t="s">
        <v>435</v>
      </c>
      <c r="L9" s="302" t="s">
        <v>414</v>
      </c>
      <c r="N9" s="302" t="s">
        <v>529</v>
      </c>
    </row>
    <row r="10" spans="2:23">
      <c r="H10" s="302" t="s">
        <v>433</v>
      </c>
      <c r="J10" s="302" t="str">
        <f>IF('KEY INPUTS'!C42="State Fiscal Year","Fiscal Year "&amp;'KEY INPUTS'!D33&amp;"",'KEY INPUTS'!D34)&amp;""</f>
        <v>2024</v>
      </c>
      <c r="L10" s="302" t="s">
        <v>436</v>
      </c>
      <c r="N10" s="302" t="s">
        <v>437</v>
      </c>
    </row>
    <row r="11" spans="2:23">
      <c r="H11" s="369" t="s">
        <v>432</v>
      </c>
      <c r="J11" s="369" t="s">
        <v>534</v>
      </c>
      <c r="L11" s="369" t="str">
        <f>IF('KEY INPUTS'!C42="State Fiscal Year","Fiscal Year "&amp;'KEY INPUTS'!D33&amp;"",'KEY INPUTS'!D34)&amp;""</f>
        <v>2024</v>
      </c>
      <c r="N11" s="373" t="str">
        <f>IF('KEY INPUTS'!C42 = "State Fiscal Year", 'KEY INPUTS'!F47,'KEY INPUTS'!D47)</f>
        <v>Dec. 31, 2024</v>
      </c>
      <c r="Q11"/>
      <c r="R11"/>
      <c r="S11"/>
      <c r="T11"/>
      <c r="U11"/>
      <c r="V11"/>
      <c r="W11"/>
    </row>
    <row r="12" spans="2:23">
      <c r="B12" s="368" t="s">
        <v>292</v>
      </c>
      <c r="C12" s="267" t="s">
        <v>869</v>
      </c>
      <c r="Q12"/>
      <c r="R12"/>
      <c r="S12"/>
      <c r="T12"/>
      <c r="U12"/>
      <c r="V12"/>
      <c r="W12"/>
    </row>
    <row r="13" spans="2:23">
      <c r="B13" s="368"/>
      <c r="D13" s="267" t="s">
        <v>870</v>
      </c>
      <c r="G13" s="267" t="s">
        <v>373</v>
      </c>
      <c r="H13" s="431"/>
      <c r="I13" s="267" t="s">
        <v>373</v>
      </c>
      <c r="J13" s="431"/>
      <c r="K13" s="267" t="s">
        <v>373</v>
      </c>
      <c r="L13" s="431"/>
      <c r="M13" s="267" t="s">
        <v>373</v>
      </c>
      <c r="N13" s="515">
        <f>+H13-J13+L13</f>
        <v>0</v>
      </c>
      <c r="Q13" s="294"/>
      <c r="R13"/>
      <c r="S13"/>
      <c r="T13"/>
      <c r="U13"/>
      <c r="V13"/>
      <c r="W13"/>
    </row>
    <row r="14" spans="2:23">
      <c r="B14" s="368"/>
      <c r="H14" s="61"/>
      <c r="J14" s="61"/>
      <c r="L14" s="61"/>
      <c r="Q14"/>
      <c r="R14"/>
      <c r="S14"/>
      <c r="T14"/>
      <c r="U14"/>
      <c r="V14"/>
      <c r="W14"/>
    </row>
    <row r="15" spans="2:23" ht="21" customHeight="1">
      <c r="B15" s="368" t="s">
        <v>293</v>
      </c>
      <c r="C15" s="514" t="s">
        <v>3131</v>
      </c>
      <c r="D15" s="514"/>
      <c r="E15" s="514"/>
      <c r="F15" s="514"/>
      <c r="G15" s="267" t="s">
        <v>373</v>
      </c>
      <c r="H15" s="431"/>
      <c r="I15" s="267" t="s">
        <v>373</v>
      </c>
      <c r="J15" s="431"/>
      <c r="K15" s="267" t="s">
        <v>373</v>
      </c>
      <c r="L15" s="431"/>
      <c r="M15" s="267" t="s">
        <v>373</v>
      </c>
      <c r="N15" s="515">
        <f>+H15-J15+L15</f>
        <v>0</v>
      </c>
      <c r="Q15"/>
      <c r="R15"/>
      <c r="S15"/>
      <c r="T15"/>
      <c r="U15"/>
      <c r="V15"/>
      <c r="W15"/>
    </row>
    <row r="16" spans="2:23" ht="21" customHeight="1">
      <c r="B16" s="368" t="s">
        <v>294</v>
      </c>
      <c r="C16" s="514"/>
      <c r="D16" s="514"/>
      <c r="E16" s="514"/>
      <c r="F16" s="514"/>
      <c r="G16" s="267" t="s">
        <v>373</v>
      </c>
      <c r="H16" s="431"/>
      <c r="I16" s="267" t="s">
        <v>373</v>
      </c>
      <c r="J16" s="431"/>
      <c r="K16" s="267" t="s">
        <v>373</v>
      </c>
      <c r="L16" s="431"/>
      <c r="M16" s="267" t="s">
        <v>373</v>
      </c>
      <c r="N16" s="515">
        <f>+H16-J16+L16</f>
        <v>0</v>
      </c>
      <c r="Q16"/>
      <c r="R16"/>
      <c r="S16"/>
      <c r="T16"/>
      <c r="U16"/>
      <c r="V16"/>
      <c r="W16"/>
    </row>
    <row r="17" spans="2:23" ht="21" customHeight="1">
      <c r="B17" s="368" t="s">
        <v>295</v>
      </c>
      <c r="C17" s="514"/>
      <c r="D17" s="514"/>
      <c r="E17" s="514"/>
      <c r="F17" s="514"/>
      <c r="G17" s="267" t="s">
        <v>373</v>
      </c>
      <c r="H17" s="431"/>
      <c r="I17" s="267" t="s">
        <v>373</v>
      </c>
      <c r="J17" s="431"/>
      <c r="K17" s="267" t="s">
        <v>373</v>
      </c>
      <c r="L17" s="431"/>
      <c r="M17" s="267" t="s">
        <v>373</v>
      </c>
      <c r="N17" s="515">
        <f t="shared" ref="N17:N23" si="0">+H17-J17+L17</f>
        <v>0</v>
      </c>
      <c r="Q17"/>
      <c r="R17"/>
      <c r="S17"/>
      <c r="T17"/>
      <c r="U17"/>
      <c r="V17"/>
      <c r="W17"/>
    </row>
    <row r="18" spans="2:23" ht="21" customHeight="1">
      <c r="B18" s="368" t="s">
        <v>296</v>
      </c>
      <c r="C18" s="514"/>
      <c r="D18" s="514"/>
      <c r="E18" s="514"/>
      <c r="F18" s="514"/>
      <c r="G18" s="267" t="s">
        <v>373</v>
      </c>
      <c r="H18" s="431"/>
      <c r="I18" s="267" t="s">
        <v>373</v>
      </c>
      <c r="J18" s="431"/>
      <c r="K18" s="267" t="s">
        <v>373</v>
      </c>
      <c r="L18" s="431"/>
      <c r="M18" s="267" t="s">
        <v>373</v>
      </c>
      <c r="N18" s="515">
        <f t="shared" si="0"/>
        <v>0</v>
      </c>
      <c r="Q18"/>
      <c r="R18"/>
      <c r="S18"/>
      <c r="T18"/>
      <c r="U18"/>
      <c r="V18"/>
      <c r="W18"/>
    </row>
    <row r="19" spans="2:23" ht="21" customHeight="1">
      <c r="B19" s="368"/>
      <c r="C19" s="840" t="s">
        <v>3207</v>
      </c>
      <c r="D19" s="840"/>
      <c r="E19" s="840"/>
      <c r="F19" s="840"/>
      <c r="G19" s="574" t="s">
        <v>373</v>
      </c>
      <c r="H19" s="431">
        <v>3195.03</v>
      </c>
      <c r="I19" s="574" t="s">
        <v>373</v>
      </c>
      <c r="J19" s="431">
        <v>3195.03</v>
      </c>
      <c r="K19" s="574" t="s">
        <v>373</v>
      </c>
      <c r="L19" s="431"/>
      <c r="M19" s="267" t="s">
        <v>373</v>
      </c>
      <c r="N19" s="515">
        <f t="shared" si="0"/>
        <v>0</v>
      </c>
      <c r="Q19"/>
      <c r="R19"/>
      <c r="S19"/>
      <c r="T19"/>
      <c r="U19"/>
      <c r="V19"/>
      <c r="W19"/>
    </row>
    <row r="20" spans="2:23" ht="21" customHeight="1">
      <c r="B20" s="368"/>
      <c r="C20" s="907" t="s">
        <v>3208</v>
      </c>
      <c r="D20" s="840"/>
      <c r="E20" s="840"/>
      <c r="F20" s="840"/>
      <c r="G20" s="574" t="s">
        <v>373</v>
      </c>
      <c r="H20" s="839">
        <f>H13+H15+H16+H17+H18+H19</f>
        <v>3195.03</v>
      </c>
      <c r="I20" s="574" t="s">
        <v>373</v>
      </c>
      <c r="J20" s="839">
        <f>J13+J15+J16+J17+J18+J19</f>
        <v>3195.03</v>
      </c>
      <c r="K20" s="574" t="s">
        <v>373</v>
      </c>
      <c r="L20" s="839">
        <f>L13+L15+L16+L17+L18+L19</f>
        <v>0</v>
      </c>
      <c r="M20" s="267" t="s">
        <v>373</v>
      </c>
      <c r="N20" s="839">
        <f>N13+N15+N16+N17+N18+N19</f>
        <v>0</v>
      </c>
      <c r="Q20"/>
      <c r="R20"/>
      <c r="S20"/>
      <c r="T20"/>
      <c r="U20"/>
      <c r="V20"/>
      <c r="W20"/>
    </row>
    <row r="21" spans="2:23" ht="21" customHeight="1">
      <c r="B21" s="368" t="s">
        <v>297</v>
      </c>
      <c r="C21" s="514"/>
      <c r="D21" s="514"/>
      <c r="E21" s="514"/>
      <c r="F21" s="514"/>
      <c r="G21" s="267" t="s">
        <v>373</v>
      </c>
      <c r="H21" s="431"/>
      <c r="I21" s="267" t="s">
        <v>373</v>
      </c>
      <c r="J21" s="431"/>
      <c r="K21" s="267" t="s">
        <v>373</v>
      </c>
      <c r="L21" s="431"/>
      <c r="M21" s="267" t="s">
        <v>373</v>
      </c>
      <c r="N21" s="515">
        <f t="shared" si="0"/>
        <v>0</v>
      </c>
      <c r="Q21"/>
      <c r="R21"/>
      <c r="S21"/>
      <c r="T21"/>
      <c r="U21"/>
      <c r="V21"/>
      <c r="W21"/>
    </row>
    <row r="22" spans="2:23" ht="21" customHeight="1">
      <c r="B22" s="368" t="s">
        <v>298</v>
      </c>
      <c r="C22" s="514"/>
      <c r="D22" s="514"/>
      <c r="E22" s="514"/>
      <c r="F22" s="514"/>
      <c r="G22" s="267" t="s">
        <v>373</v>
      </c>
      <c r="H22" s="431"/>
      <c r="I22" s="267" t="s">
        <v>373</v>
      </c>
      <c r="J22" s="431"/>
      <c r="K22" s="267" t="s">
        <v>373</v>
      </c>
      <c r="L22" s="431"/>
      <c r="M22" s="267" t="s">
        <v>373</v>
      </c>
      <c r="N22" s="515">
        <f t="shared" si="0"/>
        <v>0</v>
      </c>
      <c r="Q22"/>
      <c r="R22"/>
      <c r="S22"/>
      <c r="T22"/>
      <c r="U22"/>
      <c r="V22"/>
      <c r="W22"/>
    </row>
    <row r="23" spans="2:23" ht="21" customHeight="1">
      <c r="B23" s="368"/>
      <c r="C23" s="907" t="s">
        <v>3480</v>
      </c>
      <c r="D23" s="840"/>
      <c r="E23" s="840"/>
      <c r="F23" s="840"/>
      <c r="G23" s="574" t="s">
        <v>373</v>
      </c>
      <c r="H23" s="839">
        <f>H21+H22</f>
        <v>0</v>
      </c>
      <c r="I23" s="574" t="s">
        <v>373</v>
      </c>
      <c r="J23" s="839">
        <f>J21+J22</f>
        <v>0</v>
      </c>
      <c r="K23" s="574" t="s">
        <v>373</v>
      </c>
      <c r="L23" s="839">
        <f>L21+L22</f>
        <v>0</v>
      </c>
      <c r="M23" s="267" t="s">
        <v>373</v>
      </c>
      <c r="N23" s="515">
        <f t="shared" si="0"/>
        <v>0</v>
      </c>
      <c r="Q23"/>
      <c r="R23"/>
      <c r="S23"/>
      <c r="T23"/>
      <c r="U23"/>
      <c r="V23"/>
      <c r="W23"/>
    </row>
    <row r="24" spans="2:23">
      <c r="B24" s="368"/>
      <c r="Q24"/>
      <c r="R24"/>
      <c r="S24"/>
      <c r="T24"/>
      <c r="U24"/>
      <c r="V24"/>
      <c r="W24"/>
    </row>
    <row r="25" spans="2:23">
      <c r="B25" s="368"/>
      <c r="C25" s="267" t="s">
        <v>872</v>
      </c>
      <c r="Q25"/>
      <c r="R25"/>
      <c r="S25"/>
      <c r="T25"/>
      <c r="U25"/>
      <c r="V25"/>
      <c r="W25"/>
    </row>
    <row r="26" spans="2:23">
      <c r="B26" s="368"/>
      <c r="Q26"/>
      <c r="R26"/>
      <c r="S26"/>
      <c r="T26"/>
      <c r="U26"/>
      <c r="V26"/>
      <c r="W26"/>
    </row>
    <row r="27" spans="2:23">
      <c r="B27" s="368"/>
      <c r="Q27"/>
      <c r="R27"/>
      <c r="S27"/>
      <c r="T27"/>
      <c r="U27"/>
      <c r="V27"/>
      <c r="W27"/>
    </row>
    <row r="28" spans="2:23" ht="15.6">
      <c r="B28" s="1388" t="s">
        <v>3354</v>
      </c>
      <c r="C28" s="1388"/>
      <c r="D28" s="1388"/>
      <c r="E28" s="1388"/>
      <c r="F28" s="1388"/>
      <c r="G28" s="1388"/>
      <c r="H28" s="1388"/>
      <c r="I28" s="1388"/>
      <c r="J28" s="1388"/>
      <c r="K28" s="1388"/>
      <c r="L28" s="1388"/>
      <c r="M28" s="1388"/>
      <c r="N28" s="1388"/>
    </row>
    <row r="29" spans="2:23" ht="15.6">
      <c r="B29" s="1388" t="s">
        <v>3573</v>
      </c>
      <c r="C29" s="1388"/>
      <c r="D29" s="1388"/>
      <c r="E29" s="1388"/>
      <c r="F29" s="1388"/>
      <c r="G29" s="1388"/>
      <c r="H29" s="1388"/>
      <c r="I29" s="1388"/>
      <c r="J29" s="1388"/>
      <c r="K29" s="1388"/>
      <c r="L29" s="1388"/>
      <c r="M29" s="1388"/>
      <c r="N29" s="1388"/>
    </row>
    <row r="30" spans="2:23" ht="6.75" customHeight="1">
      <c r="B30" s="372"/>
      <c r="C30" s="372"/>
      <c r="D30" s="372"/>
      <c r="E30" s="372"/>
      <c r="F30" s="372"/>
      <c r="G30" s="372"/>
      <c r="H30" s="372"/>
      <c r="I30" s="372"/>
      <c r="J30" s="372"/>
      <c r="K30" s="372"/>
      <c r="L30" s="372"/>
      <c r="M30" s="372"/>
      <c r="N30" s="372"/>
    </row>
    <row r="31" spans="2:23" ht="18" customHeight="1">
      <c r="B31" s="368"/>
      <c r="D31" s="1390" t="s">
        <v>17</v>
      </c>
      <c r="E31" s="1390"/>
      <c r="F31" s="371"/>
      <c r="G31" s="1390" t="s">
        <v>413</v>
      </c>
      <c r="H31" s="1390"/>
      <c r="I31" s="1390"/>
      <c r="J31" s="1390"/>
      <c r="K31" s="1390"/>
      <c r="L31" s="1390"/>
      <c r="M31" s="371"/>
      <c r="N31" s="370" t="s">
        <v>414</v>
      </c>
    </row>
    <row r="32" spans="2:23" ht="21" customHeight="1">
      <c r="B32" s="368"/>
      <c r="C32" s="368" t="s">
        <v>292</v>
      </c>
      <c r="D32" s="514"/>
      <c r="E32" s="514"/>
      <c r="G32" s="514"/>
      <c r="H32" s="514"/>
      <c r="I32" s="514"/>
      <c r="J32" s="514"/>
      <c r="K32" s="514"/>
      <c r="L32" s="514"/>
      <c r="M32" s="267" t="s">
        <v>373</v>
      </c>
      <c r="N32" s="293"/>
    </row>
    <row r="33" spans="2:14" ht="21" customHeight="1">
      <c r="B33" s="368"/>
      <c r="C33" s="368" t="s">
        <v>293</v>
      </c>
      <c r="D33" s="514"/>
      <c r="E33" s="514"/>
      <c r="G33" s="514"/>
      <c r="H33" s="514"/>
      <c r="I33" s="514"/>
      <c r="J33" s="514"/>
      <c r="K33" s="514"/>
      <c r="L33" s="514"/>
      <c r="M33" s="267" t="s">
        <v>373</v>
      </c>
      <c r="N33" s="293"/>
    </row>
    <row r="34" spans="2:14" ht="21" customHeight="1">
      <c r="B34" s="368"/>
      <c r="C34" s="368" t="s">
        <v>294</v>
      </c>
      <c r="D34" s="514"/>
      <c r="E34" s="514"/>
      <c r="G34" s="514"/>
      <c r="H34" s="514"/>
      <c r="I34" s="514"/>
      <c r="J34" s="514"/>
      <c r="K34" s="514"/>
      <c r="L34" s="514"/>
      <c r="M34" s="267" t="s">
        <v>373</v>
      </c>
      <c r="N34" s="293"/>
    </row>
    <row r="35" spans="2:14" ht="21" customHeight="1">
      <c r="B35" s="368"/>
      <c r="C35" s="368" t="s">
        <v>295</v>
      </c>
      <c r="D35" s="514"/>
      <c r="E35" s="514"/>
      <c r="G35" s="514"/>
      <c r="H35" s="514"/>
      <c r="I35" s="514"/>
      <c r="J35" s="514"/>
      <c r="K35" s="514"/>
      <c r="L35" s="514"/>
      <c r="M35" s="267" t="s">
        <v>373</v>
      </c>
      <c r="N35" s="293"/>
    </row>
    <row r="36" spans="2:14" ht="21" customHeight="1">
      <c r="B36" s="368"/>
      <c r="C36" s="368" t="s">
        <v>296</v>
      </c>
      <c r="D36" s="514"/>
      <c r="E36" s="514"/>
      <c r="G36" s="514"/>
      <c r="H36" s="514"/>
      <c r="I36" s="514"/>
      <c r="J36" s="514"/>
      <c r="K36" s="514"/>
      <c r="L36" s="514"/>
      <c r="M36" s="267" t="s">
        <v>373</v>
      </c>
      <c r="N36" s="293"/>
    </row>
    <row r="37" spans="2:14">
      <c r="B37" s="368"/>
    </row>
    <row r="38" spans="2:14">
      <c r="B38" s="368"/>
    </row>
    <row r="39" spans="2:14">
      <c r="B39" s="368"/>
    </row>
    <row r="40" spans="2:14" ht="15.6">
      <c r="B40" s="1388" t="s">
        <v>250</v>
      </c>
      <c r="C40" s="1388"/>
      <c r="D40" s="1388"/>
      <c r="E40" s="1388"/>
      <c r="F40" s="1388"/>
      <c r="G40" s="1388"/>
      <c r="H40" s="1388"/>
      <c r="I40" s="1388"/>
      <c r="J40" s="1388"/>
      <c r="K40" s="1388"/>
      <c r="L40" s="1388"/>
      <c r="M40" s="1388"/>
      <c r="N40" s="1388"/>
    </row>
    <row r="41" spans="2:14">
      <c r="B41" s="368"/>
    </row>
    <row r="42" spans="2:14">
      <c r="B42" s="368"/>
      <c r="N42" s="302" t="s">
        <v>419</v>
      </c>
    </row>
    <row r="43" spans="2:14">
      <c r="B43" s="368"/>
      <c r="N43" s="302" t="s">
        <v>420</v>
      </c>
    </row>
    <row r="44" spans="2:14">
      <c r="B44" s="368"/>
      <c r="D44" s="1389" t="s">
        <v>416</v>
      </c>
      <c r="E44" s="1389"/>
      <c r="H44" s="1389" t="s">
        <v>417</v>
      </c>
      <c r="I44" s="1389"/>
      <c r="J44" s="369" t="s">
        <v>418</v>
      </c>
      <c r="L44" s="369" t="s">
        <v>414</v>
      </c>
      <c r="N44" s="369" t="str">
        <f>IF('KEY INPUTS'!C42="State Fiscal Year","Fiscal Year "&amp;'KEY INPUTS'!D33&amp;"",'KEY INPUTS'!D34)&amp;""</f>
        <v>2024</v>
      </c>
    </row>
    <row r="45" spans="2:14">
      <c r="B45" s="368"/>
    </row>
    <row r="46" spans="2:14" ht="21" customHeight="1">
      <c r="B46" s="368"/>
      <c r="C46" s="368" t="s">
        <v>292</v>
      </c>
      <c r="D46" s="514"/>
      <c r="E46" s="514"/>
      <c r="F46" s="514"/>
      <c r="G46" s="514"/>
      <c r="H46" s="514"/>
      <c r="I46" s="514"/>
      <c r="J46" s="514"/>
      <c r="K46" s="267" t="s">
        <v>373</v>
      </c>
      <c r="L46" s="293"/>
      <c r="M46" s="513"/>
      <c r="N46" s="293"/>
    </row>
    <row r="47" spans="2:14" ht="21" customHeight="1">
      <c r="B47" s="368"/>
      <c r="C47" s="368" t="s">
        <v>293</v>
      </c>
      <c r="D47" s="514"/>
      <c r="E47" s="514"/>
      <c r="F47" s="514"/>
      <c r="G47" s="514"/>
      <c r="H47" s="514"/>
      <c r="I47" s="514"/>
      <c r="J47" s="514"/>
      <c r="K47" s="267" t="s">
        <v>373</v>
      </c>
      <c r="L47" s="293"/>
      <c r="M47" s="513"/>
      <c r="N47" s="293"/>
    </row>
    <row r="48" spans="2:14" ht="21" customHeight="1">
      <c r="B48" s="368"/>
      <c r="C48" s="368" t="s">
        <v>294</v>
      </c>
      <c r="D48" s="514"/>
      <c r="E48" s="514"/>
      <c r="F48" s="514"/>
      <c r="G48" s="514"/>
      <c r="H48" s="514"/>
      <c r="I48" s="514"/>
      <c r="J48" s="514"/>
      <c r="K48" s="267" t="s">
        <v>373</v>
      </c>
      <c r="L48" s="293"/>
      <c r="M48" s="513"/>
      <c r="N48" s="293"/>
    </row>
    <row r="49" spans="2:14" ht="21" customHeight="1">
      <c r="B49" s="368"/>
      <c r="C49" s="368" t="s">
        <v>295</v>
      </c>
      <c r="D49" s="514"/>
      <c r="E49" s="514"/>
      <c r="F49" s="514"/>
      <c r="G49" s="514"/>
      <c r="H49" s="514"/>
      <c r="I49" s="514"/>
      <c r="J49" s="514"/>
      <c r="K49" s="267" t="s">
        <v>373</v>
      </c>
      <c r="L49" s="293"/>
      <c r="M49" s="513"/>
      <c r="N49" s="293"/>
    </row>
    <row r="50" spans="2:14">
      <c r="B50" s="368"/>
    </row>
    <row r="51" spans="2:14">
      <c r="B51" s="368"/>
    </row>
    <row r="52" spans="2:14">
      <c r="B52" s="368"/>
    </row>
    <row r="53" spans="2:14">
      <c r="B53" s="368"/>
    </row>
    <row r="54" spans="2:14">
      <c r="B54" s="368"/>
    </row>
    <row r="55" spans="2:14">
      <c r="B55" s="368"/>
    </row>
    <row r="56" spans="2:14">
      <c r="B56" s="368"/>
    </row>
    <row r="57" spans="2:14">
      <c r="B57" s="368"/>
    </row>
    <row r="58" spans="2:14">
      <c r="B58" s="368"/>
    </row>
    <row r="59" spans="2:14">
      <c r="B59" s="368"/>
    </row>
    <row r="60" spans="2:14">
      <c r="B60" s="368"/>
    </row>
    <row r="61" spans="2:14" ht="13.8">
      <c r="B61" s="1387" t="s">
        <v>3164</v>
      </c>
      <c r="C61" s="1387"/>
      <c r="D61" s="1387"/>
      <c r="E61" s="1387"/>
      <c r="F61" s="1387"/>
      <c r="G61" s="1387"/>
      <c r="H61" s="1387"/>
      <c r="I61" s="1387"/>
      <c r="J61" s="1387"/>
      <c r="K61" s="1387"/>
      <c r="L61" s="1387"/>
      <c r="M61" s="1387"/>
      <c r="N61" s="1387"/>
    </row>
    <row r="62" spans="2:14">
      <c r="B62" s="368"/>
    </row>
    <row r="63" spans="2:14">
      <c r="B63" s="368"/>
    </row>
    <row r="64" spans="2:14">
      <c r="B64" s="368"/>
    </row>
    <row r="65" spans="2:2">
      <c r="B65" s="368"/>
    </row>
    <row r="66" spans="2:2">
      <c r="B66" s="368"/>
    </row>
    <row r="67" spans="2:2">
      <c r="B67" s="368"/>
    </row>
    <row r="68" spans="2:2">
      <c r="B68" s="368"/>
    </row>
    <row r="69" spans="2:2">
      <c r="B69" s="368"/>
    </row>
  </sheetData>
  <sheetProtection algorithmName="SHA-512" hashValue="WwB8b3VWafXYU58CoFOSJdR2IwEqKqrW/6cTHTnMuFw0E8tqxfn+It0lNI4qIxEdrSH/1kE6LbD5acJw91ho8g==" saltValue="QaZHBW6ZqRqNdZ8DvEtMAg==" spinCount="100000" sheet="1" objects="1" scenarios="1"/>
  <mergeCells count="13">
    <mergeCell ref="B28:N28"/>
    <mergeCell ref="B3:N3"/>
    <mergeCell ref="B4:N4"/>
    <mergeCell ref="B5:N5"/>
    <mergeCell ref="B6:N6"/>
    <mergeCell ref="C9:E9"/>
    <mergeCell ref="B61:N61"/>
    <mergeCell ref="B29:N29"/>
    <mergeCell ref="D31:E31"/>
    <mergeCell ref="G31:L31"/>
    <mergeCell ref="B40:N40"/>
    <mergeCell ref="D44:E44"/>
    <mergeCell ref="H44:I44"/>
  </mergeCells>
  <pageMargins left="0.25" right="0.25" top="0.5" bottom="0.5" header="0.25" footer="0.25"/>
  <pageSetup paperSize="5" orientation="portrait"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87855-5F3B-4C44-9331-4D2F5BBC7CAE}">
  <sheetPr codeName="Sheet301">
    <tabColor theme="3" tint="0.39997558519241921"/>
  </sheetPr>
  <dimension ref="A2:O36"/>
  <sheetViews>
    <sheetView zoomScaleNormal="100" workbookViewId="0">
      <selection activeCell="J9" sqref="J9"/>
    </sheetView>
  </sheetViews>
  <sheetFormatPr defaultColWidth="9.109375" defaultRowHeight="13.2"/>
  <cols>
    <col min="1" max="1" width="5.6640625" customWidth="1"/>
    <col min="2" max="4" width="4.88671875" customWidth="1"/>
    <col min="5" max="5" width="46.6640625" customWidth="1"/>
    <col min="6" max="6" width="7.6640625" customWidth="1"/>
    <col min="7" max="8" width="16.6640625" customWidth="1"/>
    <col min="9" max="12" width="15.6640625" customWidth="1"/>
    <col min="13" max="13" width="10.44140625" bestFit="1" customWidth="1"/>
  </cols>
  <sheetData>
    <row r="2" spans="1:15" ht="17.399999999999999">
      <c r="B2" s="1186" t="s">
        <v>3527</v>
      </c>
      <c r="C2" s="1186"/>
      <c r="D2" s="1186"/>
      <c r="E2" s="1186"/>
      <c r="F2" s="1186"/>
      <c r="G2" s="1186"/>
      <c r="H2" s="1186"/>
      <c r="I2" s="1186"/>
      <c r="J2" s="1186"/>
      <c r="K2" s="1186"/>
      <c r="L2" s="1186"/>
    </row>
    <row r="5" spans="1:15" ht="13.8" thickBot="1"/>
    <row r="6" spans="1:15" ht="13.8" thickTop="1">
      <c r="B6" s="11"/>
      <c r="C6" s="11"/>
      <c r="D6" s="11"/>
      <c r="E6" s="752"/>
      <c r="F6" s="11"/>
      <c r="G6" s="12"/>
      <c r="H6" s="51"/>
      <c r="I6" s="12"/>
      <c r="J6" s="11"/>
      <c r="K6" s="11"/>
      <c r="L6" s="18"/>
    </row>
    <row r="7" spans="1:15" ht="15.6">
      <c r="B7" s="1174" t="s">
        <v>17</v>
      </c>
      <c r="C7" s="1174"/>
      <c r="D7" s="1174"/>
      <c r="E7" s="1252" t="s">
        <v>413</v>
      </c>
      <c r="F7" s="1214"/>
      <c r="G7" s="13" t="s">
        <v>414</v>
      </c>
      <c r="H7" s="1" t="s">
        <v>442</v>
      </c>
      <c r="I7" s="13" t="s">
        <v>529</v>
      </c>
      <c r="J7" s="1192" t="str">
        <f>"REDUCED  IN  "&amp;IF('KEY INPUTS'!C42="State Fiscal Year","FY  "&amp;'KEY INPUTS'!D33&amp;"",'KEY INPUTS'!D34)&amp;""</f>
        <v>REDUCED  IN  2024</v>
      </c>
      <c r="K7" s="1194"/>
      <c r="L7" s="21" t="s">
        <v>529</v>
      </c>
    </row>
    <row r="8" spans="1:15">
      <c r="E8" s="70"/>
      <c r="G8" s="13" t="s">
        <v>441</v>
      </c>
      <c r="H8" s="1" t="s">
        <v>443</v>
      </c>
      <c r="I8" s="245" t="str">
        <f>IF('KEY INPUTS'!C42 = "State Fiscal Year", 'KEY INPUTS'!F46,'KEY INPUTS'!D46)</f>
        <v>Dec. 31, 2023</v>
      </c>
      <c r="J8" s="13" t="str">
        <f>"By "&amp;IF('KEY INPUTS'!C42="State Fiscal Year","FY "&amp;'KEY INPUTS'!D33&amp;"",'KEY INPUTS'!D34)&amp;""</f>
        <v>By 2024</v>
      </c>
      <c r="K8" s="13" t="s">
        <v>439</v>
      </c>
      <c r="L8" s="244" t="str">
        <f>IF('KEY INPUTS'!C42 = "State Fiscal Year", 'KEY INPUTS'!F47,'KEY INPUTS'!D47)</f>
        <v>Dec. 31, 2024</v>
      </c>
    </row>
    <row r="9" spans="1:15" ht="13.8" thickBot="1">
      <c r="B9" s="10"/>
      <c r="C9" s="10"/>
      <c r="D9" s="10"/>
      <c r="E9" s="17"/>
      <c r="F9" s="10"/>
      <c r="G9" s="16"/>
      <c r="H9" s="29" t="s">
        <v>444</v>
      </c>
      <c r="I9" s="14"/>
      <c r="J9" s="16" t="s">
        <v>534</v>
      </c>
      <c r="K9" s="16" t="s">
        <v>440</v>
      </c>
      <c r="L9" s="19"/>
    </row>
    <row r="10" spans="1:15" ht="21" customHeight="1" thickTop="1">
      <c r="B10" s="1253"/>
      <c r="C10" s="1253"/>
      <c r="D10" s="1254"/>
      <c r="E10" s="441"/>
      <c r="F10" s="421"/>
      <c r="G10" s="442"/>
      <c r="H10" s="442"/>
      <c r="I10" s="443"/>
      <c r="J10" s="443"/>
      <c r="K10" s="443"/>
      <c r="L10" s="990">
        <f>+I10-J10-K10</f>
        <v>0</v>
      </c>
    </row>
    <row r="11" spans="1:15" ht="21" customHeight="1">
      <c r="B11" s="1255"/>
      <c r="C11" s="1156"/>
      <c r="D11" s="1256"/>
      <c r="E11" s="444"/>
      <c r="F11" s="423"/>
      <c r="G11" s="432"/>
      <c r="H11" s="432"/>
      <c r="I11" s="291"/>
      <c r="J11" s="291"/>
      <c r="K11" s="291"/>
      <c r="L11" s="991">
        <f>+I11-J11-K11</f>
        <v>0</v>
      </c>
      <c r="M11" s="204"/>
    </row>
    <row r="12" spans="1:15" ht="21" customHeight="1">
      <c r="B12" s="1255"/>
      <c r="C12" s="1156"/>
      <c r="D12" s="1256"/>
      <c r="E12" s="444"/>
      <c r="F12" s="423"/>
      <c r="G12" s="445"/>
      <c r="H12" s="432"/>
      <c r="I12" s="446"/>
      <c r="J12" s="291"/>
      <c r="K12" s="291"/>
      <c r="L12" s="991">
        <f t="shared" ref="L12:L23" si="0">+I12-J12-K12</f>
        <v>0</v>
      </c>
      <c r="M12" s="204"/>
    </row>
    <row r="13" spans="1:15" ht="21" customHeight="1">
      <c r="B13" s="1156"/>
      <c r="C13" s="1156"/>
      <c r="D13" s="1256"/>
      <c r="E13" s="444"/>
      <c r="F13" s="423"/>
      <c r="G13" s="432"/>
      <c r="H13" s="432"/>
      <c r="I13" s="291"/>
      <c r="J13" s="291"/>
      <c r="K13" s="291"/>
      <c r="L13" s="991">
        <f t="shared" si="0"/>
        <v>0</v>
      </c>
    </row>
    <row r="14" spans="1:15" ht="21" customHeight="1">
      <c r="B14" s="1255"/>
      <c r="C14" s="1156"/>
      <c r="D14" s="1256"/>
      <c r="E14" s="444"/>
      <c r="F14" s="423"/>
      <c r="G14" s="432"/>
      <c r="H14" s="432"/>
      <c r="I14" s="291"/>
      <c r="J14" s="291"/>
      <c r="K14" s="291"/>
      <c r="L14" s="991">
        <f t="shared" si="0"/>
        <v>0</v>
      </c>
      <c r="O14" s="294"/>
    </row>
    <row r="15" spans="1:15" ht="21" customHeight="1">
      <c r="B15" s="1255"/>
      <c r="C15" s="1156"/>
      <c r="D15" s="1256"/>
      <c r="E15" s="444"/>
      <c r="F15" s="423"/>
      <c r="G15" s="445"/>
      <c r="H15" s="432"/>
      <c r="I15" s="446"/>
      <c r="J15" s="291"/>
      <c r="K15" s="291"/>
      <c r="L15" s="991">
        <f t="shared" si="0"/>
        <v>0</v>
      </c>
    </row>
    <row r="16" spans="1:15" ht="21" customHeight="1">
      <c r="A16" s="1195" t="s">
        <v>3528</v>
      </c>
      <c r="B16" s="1156"/>
      <c r="C16" s="1156"/>
      <c r="D16" s="1256"/>
      <c r="E16" s="444"/>
      <c r="F16" s="423"/>
      <c r="G16" s="432"/>
      <c r="H16" s="432"/>
      <c r="I16" s="291"/>
      <c r="J16" s="291"/>
      <c r="K16" s="291"/>
      <c r="L16" s="991">
        <f t="shared" si="0"/>
        <v>0</v>
      </c>
    </row>
    <row r="17" spans="1:12" ht="21" customHeight="1">
      <c r="A17" s="1195"/>
      <c r="B17" s="1156"/>
      <c r="C17" s="1156"/>
      <c r="D17" s="1256"/>
      <c r="E17" s="444"/>
      <c r="F17" s="423"/>
      <c r="G17" s="432"/>
      <c r="H17" s="432"/>
      <c r="I17" s="291"/>
      <c r="J17" s="291"/>
      <c r="K17" s="291"/>
      <c r="L17" s="991">
        <f t="shared" si="0"/>
        <v>0</v>
      </c>
    </row>
    <row r="18" spans="1:12" ht="21" customHeight="1">
      <c r="A18" s="1195"/>
      <c r="B18" s="1156"/>
      <c r="C18" s="1156"/>
      <c r="D18" s="1256"/>
      <c r="E18" s="444"/>
      <c r="F18" s="423"/>
      <c r="G18" s="432"/>
      <c r="H18" s="432"/>
      <c r="I18" s="291"/>
      <c r="J18" s="291"/>
      <c r="K18" s="291"/>
      <c r="L18" s="991">
        <f t="shared" si="0"/>
        <v>0</v>
      </c>
    </row>
    <row r="19" spans="1:12" ht="21" customHeight="1">
      <c r="A19" s="265"/>
      <c r="B19" s="613"/>
      <c r="C19" s="613"/>
      <c r="D19" s="616"/>
      <c r="E19" s="444"/>
      <c r="F19" s="423"/>
      <c r="G19" s="432"/>
      <c r="H19" s="432"/>
      <c r="I19" s="291"/>
      <c r="J19" s="291"/>
      <c r="K19" s="291"/>
      <c r="L19" s="991">
        <f t="shared" si="0"/>
        <v>0</v>
      </c>
    </row>
    <row r="20" spans="1:12" ht="21" customHeight="1">
      <c r="A20" s="265"/>
      <c r="B20" s="613"/>
      <c r="C20" s="613"/>
      <c r="D20" s="616"/>
      <c r="E20" s="444"/>
      <c r="F20" s="423"/>
      <c r="G20" s="432"/>
      <c r="H20" s="432"/>
      <c r="I20" s="291"/>
      <c r="J20" s="291"/>
      <c r="K20" s="291"/>
      <c r="L20" s="991">
        <f t="shared" si="0"/>
        <v>0</v>
      </c>
    </row>
    <row r="21" spans="1:12" ht="21" customHeight="1">
      <c r="B21" s="1156"/>
      <c r="C21" s="1156"/>
      <c r="D21" s="1256"/>
      <c r="E21" s="444"/>
      <c r="F21" s="423"/>
      <c r="G21" s="432"/>
      <c r="H21" s="432"/>
      <c r="I21" s="291"/>
      <c r="J21" s="291"/>
      <c r="K21" s="291"/>
      <c r="L21" s="991">
        <f t="shared" si="0"/>
        <v>0</v>
      </c>
    </row>
    <row r="22" spans="1:12" ht="21" customHeight="1">
      <c r="B22" s="613"/>
      <c r="C22" s="613"/>
      <c r="D22" s="616"/>
      <c r="E22" s="444"/>
      <c r="F22" s="423"/>
      <c r="G22" s="432"/>
      <c r="H22" s="432"/>
      <c r="I22" s="291"/>
      <c r="J22" s="291"/>
      <c r="K22" s="291"/>
      <c r="L22" s="991">
        <f t="shared" si="0"/>
        <v>0</v>
      </c>
    </row>
    <row r="23" spans="1:12" ht="21" customHeight="1">
      <c r="B23" s="1156"/>
      <c r="C23" s="1156"/>
      <c r="D23" s="1256"/>
      <c r="E23" s="444"/>
      <c r="F23" s="423"/>
      <c r="G23" s="432"/>
      <c r="H23" s="432"/>
      <c r="I23" s="291"/>
      <c r="J23" s="291"/>
      <c r="K23" s="291"/>
      <c r="L23" s="991">
        <f t="shared" si="0"/>
        <v>0</v>
      </c>
    </row>
    <row r="24" spans="1:12" ht="21" customHeight="1" thickBot="1">
      <c r="F24" s="16" t="s">
        <v>639</v>
      </c>
      <c r="G24" s="724">
        <f t="shared" ref="G24:L24" si="1">SUM(G10:G23)</f>
        <v>0</v>
      </c>
      <c r="H24" s="724">
        <f t="shared" si="1"/>
        <v>0</v>
      </c>
      <c r="I24" s="724">
        <f t="shared" si="1"/>
        <v>0</v>
      </c>
      <c r="J24" s="724">
        <f t="shared" si="1"/>
        <v>0</v>
      </c>
      <c r="K24" s="724">
        <f t="shared" si="1"/>
        <v>0</v>
      </c>
      <c r="L24" s="640">
        <f t="shared" si="1"/>
        <v>0</v>
      </c>
    </row>
    <row r="25" spans="1:12" ht="12.75" customHeight="1" thickTop="1">
      <c r="I25" s="1"/>
      <c r="J25" s="1"/>
    </row>
    <row r="26" spans="1:12">
      <c r="B26" s="239" t="s">
        <v>3524</v>
      </c>
    </row>
    <row r="27" spans="1:12" ht="13.5" customHeight="1">
      <c r="B27" t="s">
        <v>123</v>
      </c>
    </row>
    <row r="28" spans="1:12" ht="13.5" customHeight="1">
      <c r="B28" s="34"/>
      <c r="J28" s="1164"/>
      <c r="K28" s="1164"/>
    </row>
    <row r="29" spans="1:12">
      <c r="J29" s="1257" t="s">
        <v>124</v>
      </c>
      <c r="K29" s="1257"/>
    </row>
    <row r="35" spans="9:12">
      <c r="L35" s="204">
        <f>+I24-J24-L24</f>
        <v>0</v>
      </c>
    </row>
    <row r="36" spans="9:12">
      <c r="I36" s="204"/>
      <c r="J36" s="204"/>
    </row>
  </sheetData>
  <sheetProtection algorithmName="SHA-512" hashValue="V8jpTdbyo13E6KFeNtjPaiFdR6V7SldwgraMKSkI0l8dbkJWYxwe2xLGKmqzvwqwuaTHPafEJ115ibuySCmjLw==" saltValue="Fjgu6r4mYQQchi+f5cS7RA==" spinCount="100000" sheet="1" objects="1" scenarios="1"/>
  <mergeCells count="18">
    <mergeCell ref="A16:A18"/>
    <mergeCell ref="B16:D16"/>
    <mergeCell ref="B17:D17"/>
    <mergeCell ref="B18:D18"/>
    <mergeCell ref="B2:L2"/>
    <mergeCell ref="B7:D7"/>
    <mergeCell ref="E7:F7"/>
    <mergeCell ref="J7:K7"/>
    <mergeCell ref="B10:D10"/>
    <mergeCell ref="B11:D11"/>
    <mergeCell ref="B21:D21"/>
    <mergeCell ref="B23:D23"/>
    <mergeCell ref="J28:K28"/>
    <mergeCell ref="J29:K29"/>
    <mergeCell ref="B12:D12"/>
    <mergeCell ref="B13:D13"/>
    <mergeCell ref="B14:D14"/>
    <mergeCell ref="B15:D15"/>
  </mergeCells>
  <pageMargins left="0.25" right="0.25" top="0.5" bottom="0.5" header="0.25" footer="0.25"/>
  <pageSetup paperSize="5" orientation="landscape"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834BA-4627-4A68-A31D-CB5DCCB2546B}">
  <sheetPr codeName="Sheet188">
    <tabColor theme="3" tint="0.39997558519241921"/>
  </sheetPr>
  <dimension ref="B2:U50"/>
  <sheetViews>
    <sheetView zoomScaleNormal="100" zoomScaleSheetLayoutView="80" workbookViewId="0">
      <selection activeCell="B28" sqref="B28"/>
    </sheetView>
  </sheetViews>
  <sheetFormatPr defaultColWidth="8.88671875" defaultRowHeight="13.2"/>
  <cols>
    <col min="1" max="4" width="4.6640625" style="267" customWidth="1"/>
    <col min="5" max="5" width="17.88671875" style="267" customWidth="1"/>
    <col min="6" max="6" width="8.88671875" style="267"/>
    <col min="7" max="7" width="16.6640625" style="267" customWidth="1"/>
    <col min="8" max="8" width="1.6640625" style="267" customWidth="1"/>
    <col min="9" max="9" width="15.6640625" style="267" customWidth="1"/>
    <col min="10" max="10" width="1.6640625" style="267" customWidth="1"/>
    <col min="11" max="11" width="8.6640625" style="267" customWidth="1"/>
    <col min="12" max="12" width="7.6640625" style="267" customWidth="1"/>
    <col min="13" max="15" width="8.88671875" style="267"/>
    <col min="16" max="17" width="10.33203125" style="267" bestFit="1" customWidth="1"/>
    <col min="18" max="16384" width="8.88671875" style="267"/>
  </cols>
  <sheetData>
    <row r="2" spans="2:21" ht="20.399999999999999">
      <c r="B2" s="1363" t="s">
        <v>127</v>
      </c>
      <c r="C2" s="1363"/>
      <c r="D2" s="1363"/>
      <c r="E2" s="1363"/>
      <c r="F2" s="1363"/>
      <c r="G2" s="1363"/>
      <c r="H2" s="1363"/>
      <c r="I2" s="1363"/>
      <c r="J2" s="1363"/>
      <c r="K2" s="1363"/>
      <c r="L2" s="1363"/>
    </row>
    <row r="3" spans="2:21" ht="20.399999999999999">
      <c r="B3" s="1363" t="str">
        <f>" AND  "&amp;IF('KEY INPUTS'!C42="State Fiscal Year","FISCAL  YEAR  "&amp;'KEY INPUTS'!D33+1&amp;"",'KEY INPUTS'!D34+1)&amp;"  DEBT  SERVICE  FOR  BONDS"</f>
        <v xml:space="preserve"> AND  2025  DEBT  SERVICE  FOR  BONDS</v>
      </c>
      <c r="C3" s="1363"/>
      <c r="D3" s="1363"/>
      <c r="E3" s="1363"/>
      <c r="F3" s="1363"/>
      <c r="G3" s="1363"/>
      <c r="H3" s="1363"/>
      <c r="I3" s="1363"/>
      <c r="J3" s="1363"/>
      <c r="K3" s="1363"/>
      <c r="L3" s="1363"/>
    </row>
    <row r="4" spans="2:21" ht="15.6">
      <c r="B4" s="1360" t="str">
        <f>UPPER('KEY INPUTS'!D55)&amp;" UTILITY  ASSESSMENT  BONDS"</f>
        <v>SEWER UTILITY  ASSESSMENT  BONDS</v>
      </c>
      <c r="C4" s="1360"/>
      <c r="D4" s="1360"/>
      <c r="E4" s="1360"/>
      <c r="F4" s="1360"/>
      <c r="G4" s="1360"/>
      <c r="H4" s="1360"/>
      <c r="I4" s="1360"/>
      <c r="J4" s="1360"/>
      <c r="K4" s="1360"/>
      <c r="L4" s="1360"/>
    </row>
    <row r="5" spans="2:21" ht="9.75" customHeight="1" thickBot="1">
      <c r="B5" s="383"/>
      <c r="C5" s="383"/>
      <c r="D5" s="383"/>
      <c r="E5" s="383"/>
      <c r="F5" s="383"/>
      <c r="G5" s="383"/>
      <c r="H5" s="383"/>
      <c r="I5" s="383"/>
      <c r="J5" s="383"/>
      <c r="K5" s="383"/>
      <c r="L5" s="383"/>
    </row>
    <row r="6" spans="2:21" ht="27.75" customHeight="1" thickTop="1" thickBot="1">
      <c r="B6" s="364"/>
      <c r="C6" s="364"/>
      <c r="D6" s="364"/>
      <c r="E6" s="364"/>
      <c r="F6" s="364"/>
      <c r="G6" s="304" t="s">
        <v>96</v>
      </c>
      <c r="H6" s="1401" t="s">
        <v>97</v>
      </c>
      <c r="I6" s="1351"/>
      <c r="J6" s="1407" t="str">
        <f>IF('KEY INPUTS'!C42="State Fiscal Year","Fiscal Year "&amp;'KEY INPUTS'!D33+1&amp;"",'KEY INPUTS'!D34+1)&amp;"  Debt Service"</f>
        <v>2025  Debt Service</v>
      </c>
      <c r="K6" s="1407"/>
      <c r="L6" s="1407"/>
      <c r="O6"/>
      <c r="P6"/>
      <c r="Q6"/>
      <c r="R6"/>
      <c r="S6"/>
      <c r="T6"/>
      <c r="U6"/>
    </row>
    <row r="7" spans="2:21" ht="21" customHeight="1" thickTop="1">
      <c r="B7" s="363" t="str">
        <f>'49-Utility1'!B7</f>
        <v>Outstanding - January 1, 2024</v>
      </c>
      <c r="C7" s="313"/>
      <c r="D7" s="313"/>
      <c r="E7" s="313"/>
      <c r="F7" s="313"/>
      <c r="G7" s="801" t="s">
        <v>627</v>
      </c>
      <c r="H7" s="1293"/>
      <c r="I7" s="1294"/>
      <c r="O7"/>
      <c r="P7"/>
      <c r="Q7"/>
      <c r="R7"/>
      <c r="S7"/>
      <c r="T7"/>
      <c r="U7"/>
    </row>
    <row r="8" spans="2:21" ht="21" customHeight="1">
      <c r="B8" s="248" t="s">
        <v>92</v>
      </c>
      <c r="C8" s="248"/>
      <c r="D8" s="248"/>
      <c r="E8" s="248"/>
      <c r="F8" s="248"/>
      <c r="G8" s="804" t="s">
        <v>627</v>
      </c>
      <c r="H8" s="1291"/>
      <c r="I8" s="1292"/>
      <c r="O8" s="294"/>
      <c r="P8"/>
      <c r="Q8"/>
      <c r="R8"/>
      <c r="S8"/>
      <c r="T8"/>
      <c r="U8"/>
    </row>
    <row r="9" spans="2:21" ht="21" customHeight="1">
      <c r="B9" s="248"/>
      <c r="C9" s="248"/>
      <c r="D9" s="248"/>
      <c r="E9" s="248"/>
      <c r="F9" s="248"/>
      <c r="G9" s="804"/>
      <c r="H9" s="912"/>
      <c r="I9" s="842"/>
      <c r="O9"/>
      <c r="P9"/>
      <c r="Q9"/>
      <c r="R9"/>
      <c r="S9"/>
      <c r="T9"/>
      <c r="U9"/>
    </row>
    <row r="10" spans="2:21" ht="21" customHeight="1">
      <c r="B10" s="248" t="s">
        <v>254</v>
      </c>
      <c r="C10" s="248"/>
      <c r="D10" s="248"/>
      <c r="E10" s="248"/>
      <c r="F10" s="248"/>
      <c r="G10" s="450"/>
      <c r="H10" s="1408" t="s">
        <v>627</v>
      </c>
      <c r="I10" s="1409"/>
      <c r="O10"/>
      <c r="P10"/>
      <c r="Q10"/>
      <c r="R10"/>
      <c r="S10"/>
      <c r="T10"/>
      <c r="U10"/>
    </row>
    <row r="11" spans="2:21" ht="21" customHeight="1" thickBot="1">
      <c r="B11" s="248" t="str">
        <f>'49-Utility1'!B11</f>
        <v>Outstanding - December 31, 2024</v>
      </c>
      <c r="C11" s="248"/>
      <c r="D11" s="248"/>
      <c r="E11" s="248"/>
      <c r="F11" s="248"/>
      <c r="G11" s="783">
        <f>+H7+H8-G10</f>
        <v>0</v>
      </c>
      <c r="H11" s="1405" t="s">
        <v>627</v>
      </c>
      <c r="I11" s="1406"/>
      <c r="O11"/>
      <c r="P11"/>
      <c r="Q11"/>
      <c r="R11"/>
      <c r="S11"/>
      <c r="T11"/>
      <c r="U11"/>
    </row>
    <row r="12" spans="2:21" ht="21" customHeight="1" thickBot="1">
      <c r="G12" s="785">
        <f>SUM(G7:G11)</f>
        <v>0</v>
      </c>
      <c r="H12" s="1393">
        <f>SUM(H7:I11)</f>
        <v>0</v>
      </c>
      <c r="I12" s="1394"/>
      <c r="O12"/>
      <c r="P12"/>
      <c r="Q12"/>
      <c r="R12"/>
      <c r="S12"/>
      <c r="T12"/>
      <c r="U12"/>
    </row>
    <row r="13" spans="2:21" ht="21" customHeight="1" thickTop="1">
      <c r="B13" s="333" t="str">
        <f>'49-Utility1'!B13</f>
        <v>2025 Bond Maturities - Assessment Bonds</v>
      </c>
      <c r="C13" s="333"/>
      <c r="D13" s="333"/>
      <c r="E13" s="333"/>
      <c r="F13" s="333"/>
      <c r="G13" s="333"/>
      <c r="H13" s="333"/>
      <c r="I13" s="381"/>
      <c r="J13" s="333" t="s">
        <v>373</v>
      </c>
      <c r="K13" s="1311"/>
      <c r="L13" s="1311"/>
      <c r="O13"/>
      <c r="P13"/>
      <c r="Q13"/>
      <c r="R13"/>
      <c r="S13"/>
      <c r="T13"/>
      <c r="U13"/>
    </row>
    <row r="14" spans="2:21" ht="21" customHeight="1" thickBot="1">
      <c r="B14" s="311" t="str">
        <f>'49-Utility1'!B14</f>
        <v>2025 Interest on Bonds</v>
      </c>
      <c r="C14" s="311"/>
      <c r="D14" s="311"/>
      <c r="E14" s="311"/>
      <c r="F14" s="311"/>
      <c r="G14" s="380"/>
      <c r="H14" s="311" t="s">
        <v>373</v>
      </c>
      <c r="I14" s="456"/>
      <c r="O14"/>
      <c r="P14"/>
      <c r="Q14"/>
      <c r="R14"/>
      <c r="S14"/>
      <c r="T14"/>
      <c r="U14"/>
    </row>
    <row r="15" spans="2:21" ht="16.5" customHeight="1" thickTop="1">
      <c r="B15" s="1402"/>
      <c r="C15" s="1402"/>
      <c r="D15" s="1402"/>
      <c r="E15" s="1402"/>
      <c r="F15" s="1402"/>
      <c r="G15" s="1402"/>
      <c r="H15" s="1402"/>
      <c r="I15" s="1403"/>
      <c r="O15"/>
      <c r="P15"/>
      <c r="Q15"/>
      <c r="R15"/>
      <c r="S15"/>
      <c r="T15"/>
      <c r="U15"/>
    </row>
    <row r="16" spans="2:21" ht="26.25" customHeight="1" thickBot="1">
      <c r="B16" s="1420" t="str">
        <f>UPPER('KEY INPUTS'!D55) &amp;" UTILITY  CAPITAL  BONDS"</f>
        <v>SEWER UTILITY  CAPITAL  BONDS</v>
      </c>
      <c r="C16" s="1420"/>
      <c r="D16" s="1420"/>
      <c r="E16" s="1420"/>
      <c r="F16" s="1420"/>
      <c r="G16" s="1420"/>
      <c r="H16" s="1420"/>
      <c r="I16" s="1421"/>
      <c r="O16"/>
      <c r="P16"/>
      <c r="Q16"/>
      <c r="R16"/>
      <c r="S16"/>
      <c r="T16"/>
      <c r="U16"/>
    </row>
    <row r="17" spans="2:21" ht="21" customHeight="1" thickTop="1">
      <c r="B17" s="363" t="str">
        <f>'32-Bond Schedule'!B7</f>
        <v>Outstanding - January 1, 2024</v>
      </c>
      <c r="C17" s="313"/>
      <c r="D17" s="313"/>
      <c r="E17" s="313"/>
      <c r="F17" s="313"/>
      <c r="G17" s="801" t="s">
        <v>627</v>
      </c>
      <c r="H17" s="1293"/>
      <c r="I17" s="1294"/>
      <c r="O17"/>
      <c r="P17"/>
      <c r="Q17"/>
      <c r="R17"/>
      <c r="S17"/>
      <c r="T17"/>
      <c r="U17"/>
    </row>
    <row r="18" spans="2:21" ht="21" customHeight="1">
      <c r="B18" s="248" t="s">
        <v>92</v>
      </c>
      <c r="C18" s="248"/>
      <c r="D18" s="248"/>
      <c r="E18" s="248"/>
      <c r="F18" s="248"/>
      <c r="G18" s="804" t="s">
        <v>627</v>
      </c>
      <c r="H18" s="1291"/>
      <c r="I18" s="1292"/>
      <c r="O18"/>
      <c r="P18"/>
      <c r="Q18"/>
      <c r="R18"/>
      <c r="S18"/>
      <c r="T18"/>
      <c r="U18"/>
    </row>
    <row r="19" spans="2:21" ht="21" customHeight="1">
      <c r="B19" s="248" t="s">
        <v>254</v>
      </c>
      <c r="C19" s="248"/>
      <c r="D19" s="248"/>
      <c r="E19" s="248"/>
      <c r="F19" s="248"/>
      <c r="G19" s="450"/>
      <c r="H19" s="1408" t="s">
        <v>627</v>
      </c>
      <c r="I19" s="1409"/>
      <c r="O19"/>
      <c r="P19"/>
      <c r="Q19"/>
      <c r="R19"/>
      <c r="S19"/>
      <c r="T19"/>
      <c r="U19"/>
    </row>
    <row r="20" spans="2:21" ht="21" customHeight="1">
      <c r="B20" s="248"/>
      <c r="C20" s="248"/>
      <c r="D20" s="248"/>
      <c r="E20" s="248"/>
      <c r="F20" s="248"/>
      <c r="G20" s="533"/>
      <c r="H20" s="1395"/>
      <c r="I20" s="1396"/>
      <c r="O20"/>
      <c r="P20"/>
      <c r="Q20"/>
      <c r="R20"/>
      <c r="S20"/>
      <c r="T20"/>
      <c r="U20"/>
    </row>
    <row r="21" spans="2:21" ht="21" customHeight="1">
      <c r="B21" s="248"/>
      <c r="C21" s="248"/>
      <c r="D21" s="248"/>
      <c r="E21" s="248"/>
      <c r="F21" s="248"/>
      <c r="G21" s="533"/>
      <c r="H21" s="1395"/>
      <c r="I21" s="1396"/>
      <c r="O21"/>
      <c r="P21"/>
      <c r="Q21"/>
      <c r="R21"/>
      <c r="S21"/>
      <c r="T21"/>
      <c r="U21"/>
    </row>
    <row r="22" spans="2:21" ht="21" customHeight="1" thickBot="1">
      <c r="B22" s="248" t="str">
        <f>'32-Bond Schedule'!B11</f>
        <v>Outstanding - December 31, 2024</v>
      </c>
      <c r="C22" s="248"/>
      <c r="D22" s="248"/>
      <c r="E22" s="248"/>
      <c r="F22" s="248"/>
      <c r="G22" s="783">
        <f>+H17+H18-G19-G20-G21+H20+H21</f>
        <v>0</v>
      </c>
      <c r="H22" s="1405" t="s">
        <v>627</v>
      </c>
      <c r="I22" s="1406"/>
      <c r="O22"/>
      <c r="P22"/>
      <c r="Q22"/>
      <c r="R22"/>
      <c r="S22"/>
      <c r="T22"/>
      <c r="U22"/>
    </row>
    <row r="23" spans="2:21" ht="21" customHeight="1" thickBot="1">
      <c r="G23" s="785">
        <f>SUM(G17:G22)</f>
        <v>0</v>
      </c>
      <c r="H23" s="1393">
        <f>SUM(H17:I22)</f>
        <v>0</v>
      </c>
      <c r="I23" s="1394"/>
    </row>
    <row r="24" spans="2:21" ht="21" customHeight="1" thickTop="1">
      <c r="B24" s="333" t="str">
        <f>'49-Utility1'!B24</f>
        <v>2025 Bond Maturities - Capital Bonds</v>
      </c>
      <c r="C24" s="333"/>
      <c r="D24" s="333"/>
      <c r="E24" s="333"/>
      <c r="F24" s="333"/>
      <c r="G24" s="333"/>
      <c r="H24" s="333"/>
      <c r="I24" s="913"/>
      <c r="J24" s="333" t="s">
        <v>373</v>
      </c>
      <c r="K24" s="1311"/>
      <c r="L24" s="1311"/>
    </row>
    <row r="25" spans="2:21" ht="21" customHeight="1" thickBot="1">
      <c r="B25" s="311" t="str">
        <f>'49-Utility1'!B25</f>
        <v>2025 Interest on Bonds</v>
      </c>
      <c r="C25" s="311"/>
      <c r="D25" s="311"/>
      <c r="E25" s="311"/>
      <c r="F25" s="311"/>
      <c r="G25" s="380"/>
      <c r="H25" s="311" t="s">
        <v>373</v>
      </c>
      <c r="I25" s="456"/>
      <c r="J25" s="375"/>
      <c r="K25" s="311"/>
      <c r="L25" s="311" t="s">
        <v>3131</v>
      </c>
    </row>
    <row r="26" spans="2:21" ht="21" customHeight="1" thickTop="1"/>
    <row r="27" spans="2:21" ht="19.5" customHeight="1" thickBot="1">
      <c r="B27" s="1420" t="str">
        <f>"INTEREST  ON  BONDS  -  "&amp;UPPER('KEY INPUTS'!D55)&amp;"  UTILITY  BUDGET"</f>
        <v>INTEREST  ON  BONDS  -  SEWER  UTILITY  BUDGET</v>
      </c>
      <c r="C27" s="1420"/>
      <c r="D27" s="1420"/>
      <c r="E27" s="1420"/>
      <c r="F27" s="1420"/>
      <c r="G27" s="1420"/>
      <c r="H27" s="1420"/>
      <c r="I27" s="1420"/>
      <c r="J27" s="1420"/>
      <c r="K27" s="1420"/>
      <c r="L27" s="1420"/>
    </row>
    <row r="28" spans="2:21" ht="21" customHeight="1" thickTop="1">
      <c r="B28" s="313" t="str">
        <f>'49-Utility1'!B28</f>
        <v>2025 Interest on Bonds (*Items)</v>
      </c>
      <c r="C28" s="313"/>
      <c r="D28" s="313"/>
      <c r="E28" s="313"/>
      <c r="F28" s="313"/>
      <c r="G28" s="313"/>
      <c r="H28" s="313" t="s">
        <v>373</v>
      </c>
      <c r="I28" s="384">
        <f>+I14+I25</f>
        <v>0</v>
      </c>
      <c r="O28" s="355"/>
      <c r="P28" s="355"/>
      <c r="Q28" s="355"/>
      <c r="R28" s="355"/>
    </row>
    <row r="29" spans="2:21" ht="21" customHeight="1">
      <c r="B29" s="248" t="str">
        <f>'49-Utility1'!B29</f>
        <v>Less: Interest Accrued to 12/31/2024 (Trial Balance)</v>
      </c>
      <c r="C29" s="248"/>
      <c r="D29" s="248"/>
      <c r="E29" s="248"/>
      <c r="F29" s="248"/>
      <c r="G29" s="248"/>
      <c r="H29" s="248" t="s">
        <v>373</v>
      </c>
      <c r="I29" s="517"/>
      <c r="O29" s="355"/>
      <c r="P29" s="355"/>
      <c r="Q29" s="355"/>
      <c r="R29" s="355"/>
    </row>
    <row r="30" spans="2:21" ht="21" customHeight="1">
      <c r="B30" s="248"/>
      <c r="C30" s="248" t="s">
        <v>317</v>
      </c>
      <c r="D30" s="248"/>
      <c r="E30" s="248"/>
      <c r="F30" s="248"/>
      <c r="G30" s="248"/>
      <c r="H30" s="248" t="s">
        <v>373</v>
      </c>
      <c r="I30" s="379">
        <f>+I28-I29</f>
        <v>0</v>
      </c>
      <c r="O30" s="355"/>
      <c r="P30" s="355"/>
      <c r="Q30" s="355"/>
      <c r="R30" s="355"/>
    </row>
    <row r="31" spans="2:21" ht="21" customHeight="1">
      <c r="B31" s="248" t="str">
        <f>'49-Utility1'!B31</f>
        <v>Add: Interest to be Accrued as of 12/31/2025</v>
      </c>
      <c r="C31" s="248"/>
      <c r="D31" s="248"/>
      <c r="E31" s="248"/>
      <c r="F31" s="248"/>
      <c r="G31" s="248"/>
      <c r="H31" s="248" t="s">
        <v>373</v>
      </c>
      <c r="I31" s="517"/>
      <c r="O31" s="355"/>
      <c r="P31" s="355"/>
      <c r="Q31" s="355"/>
      <c r="R31" s="355"/>
    </row>
    <row r="32" spans="2:21" ht="21" customHeight="1">
      <c r="B32" s="248" t="str">
        <f>'49-Utility1'!B32</f>
        <v>Required Appropriation 2025</v>
      </c>
      <c r="C32" s="248"/>
      <c r="D32" s="248"/>
      <c r="E32" s="248"/>
      <c r="F32" s="248"/>
      <c r="G32" s="248"/>
      <c r="H32" s="248"/>
      <c r="I32" s="673"/>
      <c r="J32" s="376" t="s">
        <v>373</v>
      </c>
      <c r="K32" s="1414">
        <f>+I30+I31</f>
        <v>0</v>
      </c>
      <c r="L32" s="1415"/>
      <c r="O32" s="355"/>
      <c r="P32" s="355"/>
      <c r="Q32" s="355"/>
      <c r="R32" s="355"/>
    </row>
    <row r="33" spans="2:12" ht="13.5" customHeight="1">
      <c r="K33" s="378"/>
      <c r="L33" s="302"/>
    </row>
    <row r="34" spans="2:12" ht="13.5" customHeight="1">
      <c r="K34" s="378"/>
      <c r="L34" s="302"/>
    </row>
    <row r="35" spans="2:12" ht="21" customHeight="1" thickBot="1">
      <c r="B35" s="1404" t="str">
        <f>'49-Utility1'!B35</f>
        <v>LIST  OF  BONDS  ISSUED  DURING  2024</v>
      </c>
      <c r="C35" s="1404"/>
      <c r="D35" s="1404"/>
      <c r="E35" s="1404"/>
      <c r="F35" s="1404"/>
      <c r="G35" s="1404"/>
      <c r="H35" s="1404"/>
      <c r="I35" s="1404"/>
      <c r="J35" s="1404"/>
      <c r="K35" s="1404"/>
      <c r="L35" s="1404"/>
    </row>
    <row r="36" spans="2:12" ht="27" customHeight="1" thickTop="1" thickBot="1">
      <c r="B36" s="1350" t="s">
        <v>413</v>
      </c>
      <c r="C36" s="1350"/>
      <c r="D36" s="1350"/>
      <c r="E36" s="1350"/>
      <c r="F36" s="1350"/>
      <c r="G36" s="304" t="str">
        <f>'49-Utility1'!G36</f>
        <v>2025 Maturity</v>
      </c>
      <c r="H36" s="1401" t="s">
        <v>91</v>
      </c>
      <c r="I36" s="1351"/>
      <c r="J36" s="1399" t="s">
        <v>89</v>
      </c>
      <c r="K36" s="1400"/>
      <c r="L36" s="377" t="s">
        <v>90</v>
      </c>
    </row>
    <row r="37" spans="2:12" ht="21" customHeight="1" thickTop="1">
      <c r="B37" s="518"/>
      <c r="C37" s="518"/>
      <c r="D37" s="518"/>
      <c r="E37" s="518"/>
      <c r="F37" s="518"/>
      <c r="G37" s="454"/>
      <c r="H37" s="1293"/>
      <c r="I37" s="1294"/>
      <c r="J37" s="1416"/>
      <c r="K37" s="1417"/>
      <c r="L37" s="671"/>
    </row>
    <row r="38" spans="2:12" ht="21" customHeight="1">
      <c r="B38" s="495"/>
      <c r="C38" s="495"/>
      <c r="D38" s="495"/>
      <c r="E38" s="495"/>
      <c r="F38" s="495"/>
      <c r="G38" s="450"/>
      <c r="H38" s="1291"/>
      <c r="I38" s="1292"/>
      <c r="J38" s="1397"/>
      <c r="K38" s="1398"/>
      <c r="L38" s="670"/>
    </row>
    <row r="39" spans="2:12" ht="21" customHeight="1">
      <c r="B39" s="495"/>
      <c r="C39" s="495"/>
      <c r="D39" s="495"/>
      <c r="E39" s="495"/>
      <c r="F39" s="495"/>
      <c r="G39" s="450"/>
      <c r="H39" s="1291"/>
      <c r="I39" s="1292"/>
      <c r="J39" s="1397"/>
      <c r="K39" s="1398"/>
      <c r="L39" s="670"/>
    </row>
    <row r="40" spans="2:12" ht="21" customHeight="1">
      <c r="B40" s="495"/>
      <c r="C40" s="495"/>
      <c r="D40" s="495"/>
      <c r="E40" s="495"/>
      <c r="F40" s="495"/>
      <c r="G40" s="450"/>
      <c r="H40" s="1291"/>
      <c r="I40" s="1292"/>
      <c r="J40" s="1397"/>
      <c r="K40" s="1398"/>
      <c r="L40" s="670"/>
    </row>
    <row r="41" spans="2:12" ht="21" customHeight="1" thickBot="1">
      <c r="B41" s="311"/>
      <c r="C41" s="311"/>
      <c r="D41" s="311"/>
      <c r="E41" s="311"/>
      <c r="F41" s="310"/>
      <c r="G41" s="785">
        <f>SUM(G37:G40)</f>
        <v>0</v>
      </c>
      <c r="H41" s="1410">
        <f>SUM(H37:I40)</f>
        <v>0</v>
      </c>
      <c r="I41" s="1411"/>
      <c r="J41" s="375"/>
      <c r="K41" s="311"/>
      <c r="L41" s="315"/>
    </row>
    <row r="42" spans="2:12" ht="13.8" thickTop="1">
      <c r="G42" s="347"/>
      <c r="H42" s="347"/>
      <c r="I42" s="347"/>
    </row>
    <row r="50" spans="2:12" ht="13.8">
      <c r="B50" s="1353" t="s">
        <v>3165</v>
      </c>
      <c r="C50" s="1353"/>
      <c r="D50" s="1353"/>
      <c r="E50" s="1353"/>
      <c r="F50" s="1353"/>
      <c r="G50" s="1353"/>
      <c r="H50" s="1353"/>
      <c r="I50" s="1353"/>
      <c r="J50" s="1353"/>
      <c r="K50" s="1353"/>
      <c r="L50" s="1353"/>
    </row>
  </sheetData>
  <sheetProtection algorithmName="SHA-512" hashValue="P0xQfGWYkJBJLwhE67kBfZ9puwYGRncyP+/rLndnt2XOi95jjwUU95nKrFaTHBjD5cJMm7AvUNnASmd15iqpKQ==" saltValue="5CtIIRYks2uTCb6TkUrWyA=="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0:L50"/>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E635E-20E2-4978-8250-C88A0311D923}">
  <sheetPr codeName="Sheet189">
    <tabColor theme="3" tint="0.39997558519241921"/>
  </sheetPr>
  <dimension ref="B2:U51"/>
  <sheetViews>
    <sheetView topLeftCell="A16" zoomScaleNormal="100" zoomScaleSheetLayoutView="80" workbookViewId="0">
      <selection activeCell="O30" sqref="O30"/>
    </sheetView>
  </sheetViews>
  <sheetFormatPr defaultColWidth="9.109375" defaultRowHeight="13.2"/>
  <cols>
    <col min="1" max="3" width="4.6640625" style="267" customWidth="1"/>
    <col min="4" max="4" width="4.5546875" style="267" customWidth="1"/>
    <col min="5" max="5" width="17.88671875" style="267" customWidth="1"/>
    <col min="6" max="6" width="9.109375" style="267"/>
    <col min="7" max="7" width="16.6640625" style="267" customWidth="1"/>
    <col min="8" max="8" width="1.6640625" style="267" customWidth="1"/>
    <col min="9" max="9" width="15.6640625" style="267" customWidth="1"/>
    <col min="10" max="10" width="1.6640625" style="267" customWidth="1"/>
    <col min="11" max="11" width="8.6640625" style="267" customWidth="1"/>
    <col min="12" max="12" width="7.6640625" style="267" customWidth="1"/>
    <col min="13" max="16" width="9.109375" style="267"/>
    <col min="17" max="17" width="11.109375" style="267" bestFit="1" customWidth="1"/>
    <col min="18" max="18" width="14.44140625" style="267" customWidth="1"/>
    <col min="19" max="16384" width="9.109375" style="267"/>
  </cols>
  <sheetData>
    <row r="2" spans="2:21" ht="20.399999999999999">
      <c r="B2" s="1363" t="s">
        <v>480</v>
      </c>
      <c r="C2" s="1363"/>
      <c r="D2" s="1363"/>
      <c r="E2" s="1363"/>
      <c r="F2" s="1363"/>
      <c r="G2" s="1363"/>
      <c r="H2" s="1363"/>
      <c r="I2" s="1363"/>
      <c r="J2" s="1363"/>
      <c r="K2" s="1363"/>
      <c r="L2" s="1363"/>
    </row>
    <row r="3" spans="2:21" ht="21" thickBot="1">
      <c r="B3" s="1363" t="str">
        <f>" AND  "&amp;IF('KEY INPUTS'!C42="State Fiscal Year","FISCAL  YEAR  "&amp;'KEY INPUTS'!D33+1&amp;"",'KEY INPUTS'!D34+1)&amp;"  DEBT  SERVICE  FOR  LOANS"</f>
        <v xml:space="preserve"> AND  2025  DEBT  SERVICE  FOR  LOANS</v>
      </c>
      <c r="C3" s="1363"/>
      <c r="D3" s="1363"/>
      <c r="E3" s="1363"/>
      <c r="F3" s="1363"/>
      <c r="G3" s="1363"/>
      <c r="H3" s="1363"/>
      <c r="I3" s="1363"/>
      <c r="J3" s="1363"/>
      <c r="K3" s="1363"/>
      <c r="L3" s="1363"/>
    </row>
    <row r="4" spans="2:21" ht="16.2" thickBot="1">
      <c r="B4" s="1360" t="str">
        <f>UPPER('KEY INPUTS'!D$55)&amp;" UTILITY "&amp;IF(R4&lt;&gt;"",(UPPER(R4)),"")&amp;" LOAN"</f>
        <v>SEWER UTILITY USDA LOAN</v>
      </c>
      <c r="C4" s="1360"/>
      <c r="D4" s="1360"/>
      <c r="E4" s="1360"/>
      <c r="F4" s="1360"/>
      <c r="G4" s="1360"/>
      <c r="H4" s="1360"/>
      <c r="I4" s="1360"/>
      <c r="J4" s="1360"/>
      <c r="K4" s="1360"/>
      <c r="L4" s="1360"/>
      <c r="Q4" s="1056" t="s">
        <v>3576</v>
      </c>
      <c r="R4" s="1057" t="s">
        <v>3683</v>
      </c>
    </row>
    <row r="5" spans="2:21" ht="9.75" customHeight="1" thickBot="1">
      <c r="B5" s="383"/>
      <c r="C5" s="383"/>
      <c r="D5" s="383"/>
      <c r="E5" s="383"/>
      <c r="F5" s="383"/>
      <c r="G5" s="383"/>
      <c r="H5" s="383"/>
      <c r="I5" s="383"/>
      <c r="J5" s="383"/>
      <c r="K5" s="383"/>
      <c r="L5" s="383"/>
    </row>
    <row r="6" spans="2:21" ht="27.75" customHeight="1" thickTop="1" thickBot="1">
      <c r="B6" s="364"/>
      <c r="C6" s="364"/>
      <c r="D6" s="364"/>
      <c r="E6" s="364"/>
      <c r="F6" s="364"/>
      <c r="G6" s="304" t="s">
        <v>96</v>
      </c>
      <c r="H6" s="1401" t="s">
        <v>97</v>
      </c>
      <c r="I6" s="1351"/>
      <c r="J6" s="1407" t="str">
        <f>IF('KEY INPUTS'!C42="State Fiscal Year","Fiscal Year "&amp;'KEY INPUTS'!D33+1&amp;"",'KEY INPUTS'!D34+1)&amp;"  Debt Service"</f>
        <v>2025  Debt Service</v>
      </c>
      <c r="K6" s="1407"/>
      <c r="L6" s="1407"/>
      <c r="O6"/>
      <c r="P6"/>
      <c r="Q6"/>
      <c r="R6"/>
      <c r="S6"/>
      <c r="T6"/>
      <c r="U6"/>
    </row>
    <row r="7" spans="2:21" ht="21" customHeight="1" thickTop="1">
      <c r="B7" s="363" t="str">
        <f>'49-Utility2'!B7</f>
        <v>Outstanding - January 1, 2024</v>
      </c>
      <c r="C7" s="313"/>
      <c r="D7" s="313"/>
      <c r="E7" s="313"/>
      <c r="F7" s="313"/>
      <c r="G7" s="757" t="s">
        <v>627</v>
      </c>
      <c r="H7" s="1293">
        <v>3809202</v>
      </c>
      <c r="I7" s="1294"/>
      <c r="O7"/>
      <c r="P7"/>
      <c r="Q7"/>
      <c r="R7"/>
      <c r="S7"/>
      <c r="T7"/>
      <c r="U7"/>
    </row>
    <row r="8" spans="2:21" ht="21" customHeight="1">
      <c r="B8" s="248" t="s">
        <v>92</v>
      </c>
      <c r="C8" s="248"/>
      <c r="D8" s="248"/>
      <c r="E8" s="248"/>
      <c r="F8" s="248"/>
      <c r="G8" s="702" t="s">
        <v>627</v>
      </c>
      <c r="H8" s="1291"/>
      <c r="I8" s="1292"/>
      <c r="O8" s="294"/>
      <c r="P8"/>
      <c r="Q8"/>
      <c r="R8"/>
      <c r="S8"/>
      <c r="T8"/>
      <c r="U8"/>
    </row>
    <row r="9" spans="2:21" ht="21" customHeight="1">
      <c r="B9" s="248"/>
      <c r="C9" s="248"/>
      <c r="D9" s="248"/>
      <c r="E9" s="248"/>
      <c r="F9" s="248"/>
      <c r="G9" s="702"/>
      <c r="H9" s="914"/>
      <c r="I9" s="915"/>
      <c r="O9"/>
      <c r="P9"/>
      <c r="Q9"/>
      <c r="R9"/>
      <c r="S9"/>
      <c r="T9"/>
      <c r="U9"/>
    </row>
    <row r="10" spans="2:21" ht="21" customHeight="1">
      <c r="B10" s="248" t="s">
        <v>254</v>
      </c>
      <c r="C10" s="248"/>
      <c r="D10" s="248"/>
      <c r="E10" s="248"/>
      <c r="F10" s="248"/>
      <c r="G10" s="450">
        <v>93299</v>
      </c>
      <c r="H10" s="1306" t="s">
        <v>627</v>
      </c>
      <c r="I10" s="1307"/>
      <c r="O10"/>
      <c r="P10"/>
      <c r="Q10"/>
      <c r="R10"/>
      <c r="S10"/>
      <c r="T10"/>
      <c r="U10"/>
    </row>
    <row r="11" spans="2:21" ht="21" customHeight="1" thickBot="1">
      <c r="B11" s="248" t="str">
        <f>'49-Utility2'!B11</f>
        <v>Outstanding - December 31, 2024</v>
      </c>
      <c r="C11" s="248"/>
      <c r="D11" s="248"/>
      <c r="E11" s="248"/>
      <c r="F11" s="248"/>
      <c r="G11" s="758">
        <f>+H7+H8-G10</f>
        <v>3715903</v>
      </c>
      <c r="H11" s="1300" t="s">
        <v>627</v>
      </c>
      <c r="I11" s="1301"/>
      <c r="O11"/>
      <c r="P11"/>
      <c r="Q11"/>
      <c r="R11"/>
      <c r="S11"/>
      <c r="T11"/>
      <c r="U11"/>
    </row>
    <row r="12" spans="2:21" ht="21" customHeight="1" thickBot="1">
      <c r="G12" s="755">
        <f>SUM(G7:G11)</f>
        <v>3809202</v>
      </c>
      <c r="H12" s="1304">
        <f>SUM(H7:I11)</f>
        <v>3809202</v>
      </c>
      <c r="I12" s="1305"/>
      <c r="O12"/>
      <c r="P12"/>
      <c r="Q12"/>
      <c r="R12"/>
      <c r="S12"/>
      <c r="T12"/>
      <c r="U12"/>
    </row>
    <row r="13" spans="2:21" ht="21" customHeight="1" thickTop="1">
      <c r="B13" s="333" t="str">
        <f>'49a-Utility1'!B24</f>
        <v>2025 Loan Maturities</v>
      </c>
      <c r="C13" s="333"/>
      <c r="D13" s="333"/>
      <c r="E13" s="333"/>
      <c r="F13" s="333"/>
      <c r="G13" s="333"/>
      <c r="H13" s="333"/>
      <c r="I13" s="381"/>
      <c r="J13" s="333" t="s">
        <v>373</v>
      </c>
      <c r="K13" s="1311">
        <v>96118</v>
      </c>
      <c r="L13" s="1311"/>
      <c r="O13"/>
      <c r="P13"/>
      <c r="Q13"/>
      <c r="R13"/>
      <c r="S13"/>
      <c r="T13"/>
      <c r="U13"/>
    </row>
    <row r="14" spans="2:21" ht="21" customHeight="1" thickBot="1">
      <c r="B14" s="311" t="str">
        <f>'49a-Utility1'!B25</f>
        <v>2025 Interest on Loans</v>
      </c>
      <c r="C14" s="311"/>
      <c r="D14" s="311"/>
      <c r="E14" s="311"/>
      <c r="F14" s="311"/>
      <c r="G14" s="380"/>
      <c r="H14" s="311" t="s">
        <v>373</v>
      </c>
      <c r="I14" s="519">
        <v>110761.58</v>
      </c>
      <c r="O14"/>
      <c r="P14"/>
      <c r="Q14"/>
      <c r="R14"/>
      <c r="S14"/>
      <c r="T14"/>
      <c r="U14"/>
    </row>
    <row r="15" spans="2:21" ht="16.5" customHeight="1" thickTop="1" thickBot="1">
      <c r="B15" s="1402"/>
      <c r="C15" s="1402"/>
      <c r="D15" s="1402"/>
      <c r="E15" s="1402"/>
      <c r="F15" s="1402"/>
      <c r="G15" s="1402"/>
      <c r="H15" s="1402"/>
      <c r="I15" s="1403"/>
      <c r="O15"/>
      <c r="P15"/>
      <c r="Q15"/>
      <c r="R15"/>
      <c r="S15"/>
      <c r="T15"/>
      <c r="U15"/>
    </row>
    <row r="16" spans="2:21" ht="16.2" thickBot="1">
      <c r="B16" s="1420" t="str">
        <f>UPPER('KEY INPUTS'!D$55)&amp;" UTILITY "&amp;IF(R16&lt;&gt;"",(UPPER(R16)),"")&amp;" LOAN"</f>
        <v>SEWER UTILITY  LOAN</v>
      </c>
      <c r="C16" s="1420"/>
      <c r="D16" s="1420"/>
      <c r="E16" s="1420"/>
      <c r="F16" s="1420"/>
      <c r="G16" s="1420"/>
      <c r="H16" s="1420"/>
      <c r="I16" s="1421"/>
      <c r="O16"/>
      <c r="P16"/>
      <c r="Q16" s="1056" t="s">
        <v>3576</v>
      </c>
      <c r="R16" s="1057"/>
      <c r="S16"/>
      <c r="T16"/>
      <c r="U16"/>
    </row>
    <row r="17" spans="2:21" ht="21" customHeight="1" thickTop="1">
      <c r="B17" s="363" t="str">
        <f>B7</f>
        <v>Outstanding - January 1, 2024</v>
      </c>
      <c r="C17" s="313"/>
      <c r="D17" s="313"/>
      <c r="E17" s="313"/>
      <c r="F17" s="313"/>
      <c r="G17" s="757" t="s">
        <v>627</v>
      </c>
      <c r="H17" s="1293"/>
      <c r="I17" s="1294"/>
      <c r="O17"/>
      <c r="P17"/>
      <c r="Q17"/>
      <c r="R17"/>
      <c r="S17"/>
      <c r="T17"/>
      <c r="U17"/>
    </row>
    <row r="18" spans="2:21" ht="21" customHeight="1">
      <c r="B18" s="248" t="s">
        <v>92</v>
      </c>
      <c r="C18" s="248"/>
      <c r="D18" s="248"/>
      <c r="E18" s="248"/>
      <c r="F18" s="248"/>
      <c r="G18" s="702" t="s">
        <v>627</v>
      </c>
      <c r="H18" s="1291"/>
      <c r="I18" s="1292"/>
      <c r="O18"/>
      <c r="P18"/>
      <c r="Q18"/>
      <c r="R18"/>
      <c r="S18"/>
      <c r="T18"/>
      <c r="U18"/>
    </row>
    <row r="19" spans="2:21" ht="21" customHeight="1">
      <c r="B19" s="248" t="s">
        <v>254</v>
      </c>
      <c r="C19" s="248"/>
      <c r="D19" s="248"/>
      <c r="E19" s="248"/>
      <c r="F19" s="248"/>
      <c r="G19" s="450"/>
      <c r="H19" s="1306" t="s">
        <v>627</v>
      </c>
      <c r="I19" s="1307"/>
      <c r="O19"/>
      <c r="P19"/>
      <c r="Q19"/>
      <c r="R19"/>
      <c r="S19"/>
      <c r="T19"/>
      <c r="U19"/>
    </row>
    <row r="20" spans="2:21" ht="21" customHeight="1">
      <c r="B20" s="248"/>
      <c r="C20" s="248"/>
      <c r="D20" s="248"/>
      <c r="E20" s="248"/>
      <c r="F20" s="248"/>
      <c r="G20" s="767"/>
      <c r="H20" s="1308"/>
      <c r="I20" s="1309"/>
      <c r="O20"/>
      <c r="P20"/>
      <c r="Q20"/>
      <c r="R20"/>
      <c r="S20"/>
      <c r="T20"/>
      <c r="U20"/>
    </row>
    <row r="21" spans="2:21" ht="21" customHeight="1">
      <c r="B21" s="248"/>
      <c r="C21" s="248"/>
      <c r="D21" s="248"/>
      <c r="E21" s="248"/>
      <c r="F21" s="248"/>
      <c r="G21" s="767"/>
      <c r="H21" s="1308"/>
      <c r="I21" s="1309"/>
      <c r="O21"/>
      <c r="P21"/>
      <c r="Q21"/>
      <c r="R21"/>
      <c r="S21"/>
      <c r="T21"/>
      <c r="U21"/>
    </row>
    <row r="22" spans="2:21" ht="21" customHeight="1" thickBot="1">
      <c r="B22" s="248" t="str">
        <f>B11</f>
        <v>Outstanding - December 31, 2024</v>
      </c>
      <c r="C22" s="248"/>
      <c r="D22" s="248"/>
      <c r="E22" s="248"/>
      <c r="F22" s="248"/>
      <c r="G22" s="758">
        <f>+H17+H18-G19-G20-G21+H20+H21</f>
        <v>0</v>
      </c>
      <c r="H22" s="1300" t="s">
        <v>627</v>
      </c>
      <c r="I22" s="1301"/>
      <c r="O22"/>
      <c r="P22"/>
      <c r="Q22"/>
      <c r="R22"/>
      <c r="S22"/>
      <c r="T22"/>
      <c r="U22"/>
    </row>
    <row r="23" spans="2:21" ht="21" customHeight="1" thickBot="1">
      <c r="G23" s="755">
        <f>SUM(G17:G22)</f>
        <v>0</v>
      </c>
      <c r="H23" s="1304">
        <f>SUM(H17:I22)</f>
        <v>0</v>
      </c>
      <c r="I23" s="1305"/>
    </row>
    <row r="24" spans="2:21" ht="21" customHeight="1" thickTop="1">
      <c r="B24" s="333" t="str">
        <f>B13</f>
        <v>2025 Loan Maturities</v>
      </c>
      <c r="C24" s="333"/>
      <c r="D24" s="333"/>
      <c r="E24" s="333"/>
      <c r="F24" s="333"/>
      <c r="G24" s="333"/>
      <c r="H24" s="333"/>
      <c r="I24" s="381"/>
      <c r="J24" s="333" t="s">
        <v>373</v>
      </c>
      <c r="K24" s="1311"/>
      <c r="L24" s="1311"/>
    </row>
    <row r="25" spans="2:21" ht="21" customHeight="1" thickBot="1">
      <c r="B25" s="311" t="str">
        <f>B14</f>
        <v>2025 Interest on Loans</v>
      </c>
      <c r="C25" s="311"/>
      <c r="D25" s="311"/>
      <c r="E25" s="311"/>
      <c r="F25" s="311"/>
      <c r="G25" s="380"/>
      <c r="H25" s="916" t="s">
        <v>373</v>
      </c>
      <c r="I25" s="456"/>
      <c r="J25" s="375"/>
      <c r="K25" s="311"/>
      <c r="L25" s="311"/>
    </row>
    <row r="26" spans="2:21" ht="21" customHeight="1" thickTop="1"/>
    <row r="27" spans="2:21" ht="19.5" customHeight="1" thickBot="1">
      <c r="B27" s="1420" t="str">
        <f>"INTEREST  ON  LOANS  - "&amp;UPPER('KEY INPUTS'!D55)&amp;"  UTILITY  BUDGET"</f>
        <v>INTEREST  ON  LOANS  - SEWER  UTILITY  BUDGET</v>
      </c>
      <c r="C27" s="1420"/>
      <c r="D27" s="1420"/>
      <c r="E27" s="1420"/>
      <c r="F27" s="1420"/>
      <c r="G27" s="1420"/>
      <c r="H27" s="1420"/>
      <c r="I27" s="1420"/>
      <c r="J27" s="1420"/>
      <c r="K27" s="1420"/>
      <c r="L27" s="1420"/>
    </row>
    <row r="28" spans="2:21" ht="21" customHeight="1" thickTop="1">
      <c r="B28" s="313" t="str">
        <f>'49a-Utility1'!B28</f>
        <v>2025 Interest on Loans (*Items)</v>
      </c>
      <c r="C28" s="313"/>
      <c r="D28" s="313"/>
      <c r="E28" s="313"/>
      <c r="F28" s="313"/>
      <c r="G28" s="313"/>
      <c r="H28" s="313" t="s">
        <v>373</v>
      </c>
      <c r="I28" s="384">
        <f>+I25+I14</f>
        <v>110761.58</v>
      </c>
    </row>
    <row r="29" spans="2:21" ht="21" customHeight="1">
      <c r="B29" s="248" t="str">
        <f>'49a-Utility1'!B29</f>
        <v>Less: Interest Accrued to 12/31/2024 (Trial Balance)</v>
      </c>
      <c r="C29" s="248"/>
      <c r="D29" s="248"/>
      <c r="E29" s="248"/>
      <c r="F29" s="248"/>
      <c r="G29" s="248"/>
      <c r="H29" s="248" t="s">
        <v>373</v>
      </c>
      <c r="I29" s="449">
        <v>31584.1</v>
      </c>
    </row>
    <row r="30" spans="2:21" ht="21" customHeight="1">
      <c r="B30" s="248"/>
      <c r="C30" s="248" t="s">
        <v>317</v>
      </c>
      <c r="D30" s="248"/>
      <c r="E30" s="248"/>
      <c r="F30" s="248"/>
      <c r="G30" s="248"/>
      <c r="H30" s="248" t="s">
        <v>373</v>
      </c>
      <c r="I30" s="379">
        <f>+I28-I29</f>
        <v>79177.48000000001</v>
      </c>
    </row>
    <row r="31" spans="2:21" ht="21" customHeight="1">
      <c r="B31" s="248" t="str">
        <f>'49a-Utility1'!B31</f>
        <v>Add: Interest to be Accrued as of 12/31/2025</v>
      </c>
      <c r="C31" s="248"/>
      <c r="D31" s="248"/>
      <c r="E31" s="248"/>
      <c r="F31" s="248"/>
      <c r="G31" s="248"/>
      <c r="H31" s="248" t="s">
        <v>373</v>
      </c>
      <c r="I31" s="449">
        <v>30768.18</v>
      </c>
    </row>
    <row r="32" spans="2:21" ht="21" customHeight="1">
      <c r="B32" s="248" t="str">
        <f>'49a-Utility1'!B32</f>
        <v>Required Appropriation 2025</v>
      </c>
      <c r="C32" s="248"/>
      <c r="D32" s="248"/>
      <c r="E32" s="248"/>
      <c r="F32" s="248"/>
      <c r="G32" s="248"/>
      <c r="H32" s="248"/>
      <c r="I32" s="312"/>
      <c r="J32" s="376" t="s">
        <v>373</v>
      </c>
      <c r="K32" s="1414">
        <f>+I30+I31</f>
        <v>109945.66</v>
      </c>
      <c r="L32" s="1415"/>
    </row>
    <row r="33" spans="2:12" ht="13.5" customHeight="1">
      <c r="K33" s="378"/>
      <c r="L33" s="302"/>
    </row>
    <row r="34" spans="2:12" ht="13.5" customHeight="1">
      <c r="K34" s="378"/>
      <c r="L34" s="302"/>
    </row>
    <row r="35" spans="2:12" ht="21" customHeight="1" thickBot="1">
      <c r="B35" s="1404" t="str">
        <f>'49-Utility1'!B35</f>
        <v>LIST  OF  BONDS  ISSUED  DURING  2024</v>
      </c>
      <c r="C35" s="1404"/>
      <c r="D35" s="1404"/>
      <c r="E35" s="1404"/>
      <c r="F35" s="1404"/>
      <c r="G35" s="1404"/>
      <c r="H35" s="1404"/>
      <c r="I35" s="1404"/>
      <c r="J35" s="1404"/>
      <c r="K35" s="1404"/>
      <c r="L35" s="1404"/>
    </row>
    <row r="36" spans="2:12" ht="27" customHeight="1" thickTop="1" thickBot="1">
      <c r="B36" s="1350" t="s">
        <v>413</v>
      </c>
      <c r="C36" s="1350"/>
      <c r="D36" s="1350"/>
      <c r="E36" s="1350"/>
      <c r="F36" s="1350"/>
      <c r="G36" s="304" t="str">
        <f>'49-Utility2'!G36</f>
        <v>2025 Maturity</v>
      </c>
      <c r="H36" s="1401" t="s">
        <v>91</v>
      </c>
      <c r="I36" s="1351"/>
      <c r="J36" s="1399" t="s">
        <v>89</v>
      </c>
      <c r="K36" s="1400"/>
      <c r="L36" s="377" t="s">
        <v>90</v>
      </c>
    </row>
    <row r="37" spans="2:12" ht="21" customHeight="1" thickTop="1">
      <c r="B37" s="518"/>
      <c r="C37" s="518"/>
      <c r="D37" s="518"/>
      <c r="E37" s="518"/>
      <c r="F37" s="518"/>
      <c r="G37" s="454"/>
      <c r="H37" s="1293"/>
      <c r="I37" s="1294"/>
      <c r="J37" s="1422"/>
      <c r="K37" s="1417"/>
      <c r="L37" s="669"/>
    </row>
    <row r="38" spans="2:12" ht="21" customHeight="1">
      <c r="B38" s="495"/>
      <c r="C38" s="495"/>
      <c r="D38" s="495"/>
      <c r="E38" s="495"/>
      <c r="F38" s="495"/>
      <c r="G38" s="450"/>
      <c r="H38" s="1291"/>
      <c r="I38" s="1292"/>
      <c r="J38" s="1397"/>
      <c r="K38" s="1398"/>
      <c r="L38" s="670"/>
    </row>
    <row r="39" spans="2:12" ht="21" customHeight="1">
      <c r="B39" s="495"/>
      <c r="C39" s="495"/>
      <c r="D39" s="495"/>
      <c r="E39" s="495"/>
      <c r="F39" s="495"/>
      <c r="G39" s="450"/>
      <c r="H39" s="1291"/>
      <c r="I39" s="1292"/>
      <c r="J39" s="1397"/>
      <c r="K39" s="1398"/>
      <c r="L39" s="670"/>
    </row>
    <row r="40" spans="2:12" ht="21" customHeight="1">
      <c r="B40" s="495"/>
      <c r="C40" s="495"/>
      <c r="D40" s="495"/>
      <c r="E40" s="495"/>
      <c r="F40" s="495"/>
      <c r="G40" s="450"/>
      <c r="H40" s="1291"/>
      <c r="I40" s="1292"/>
      <c r="J40" s="1397"/>
      <c r="K40" s="1398"/>
      <c r="L40" s="670"/>
    </row>
    <row r="41" spans="2:12" ht="21" customHeight="1" thickBot="1">
      <c r="B41" s="311"/>
      <c r="C41" s="311"/>
      <c r="D41" s="311"/>
      <c r="E41" s="311"/>
      <c r="F41" s="310"/>
      <c r="G41" s="755">
        <f>SUM(G37:G40)</f>
        <v>0</v>
      </c>
      <c r="H41" s="1289">
        <f>SUM(H37:I40)</f>
        <v>0</v>
      </c>
      <c r="I41" s="1290"/>
      <c r="J41" s="375"/>
      <c r="K41" s="311"/>
      <c r="L41" s="315"/>
    </row>
    <row r="42" spans="2:12" ht="13.8" thickTop="1">
      <c r="G42" s="347"/>
      <c r="H42" s="347"/>
      <c r="I42" s="347"/>
    </row>
    <row r="51" spans="2:12" ht="13.8">
      <c r="B51" s="1353" t="s">
        <v>3166</v>
      </c>
      <c r="C51" s="1353"/>
      <c r="D51" s="1353"/>
      <c r="E51" s="1353"/>
      <c r="F51" s="1353"/>
      <c r="G51" s="1353"/>
      <c r="H51" s="1353"/>
      <c r="I51" s="1353"/>
      <c r="J51" s="1353"/>
      <c r="K51" s="1353"/>
      <c r="L51" s="1353"/>
    </row>
  </sheetData>
  <sheetProtection algorithmName="SHA-512" hashValue="yhyE81aHuBnkxUkRCLEnW7YMBwExTdhHgP7clud9PwVxiUpvzxZswup3t7dPVB7nhxZCyqU1Ee83/ipS9jLWRQ==" saltValue="8SMkdJ50mvA+mZxFkqReGA=="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1:L51"/>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BEEAE-BBBB-478F-99A0-D3D94D80F9C2}">
  <sheetPr codeName="Sheet190">
    <tabColor theme="3" tint="0.39997558519241921"/>
  </sheetPr>
  <dimension ref="B2:U51"/>
  <sheetViews>
    <sheetView topLeftCell="A22" zoomScaleNormal="100" zoomScaleSheetLayoutView="80" workbookViewId="0">
      <selection activeCell="G37" sqref="G37"/>
    </sheetView>
  </sheetViews>
  <sheetFormatPr defaultColWidth="9.109375" defaultRowHeight="13.2"/>
  <cols>
    <col min="1" max="3" width="4.6640625" style="267" customWidth="1"/>
    <col min="4" max="4" width="4.5546875" style="267" customWidth="1"/>
    <col min="5" max="5" width="17.88671875" style="267" customWidth="1"/>
    <col min="6" max="6" width="9.109375" style="267"/>
    <col min="7" max="7" width="16.6640625" style="267" customWidth="1"/>
    <col min="8" max="8" width="1.6640625" style="267" customWidth="1"/>
    <col min="9" max="9" width="15.6640625" style="267" customWidth="1"/>
    <col min="10" max="10" width="1.6640625" style="267" customWidth="1"/>
    <col min="11" max="11" width="8.6640625" style="267" customWidth="1"/>
    <col min="12" max="12" width="7.6640625" style="267" customWidth="1"/>
    <col min="13" max="16" width="9.109375" style="267"/>
    <col min="17" max="17" width="11.109375" style="267" bestFit="1" customWidth="1"/>
    <col min="18" max="18" width="14.44140625" style="267" customWidth="1"/>
    <col min="19" max="16384" width="9.109375" style="267"/>
  </cols>
  <sheetData>
    <row r="2" spans="2:21" ht="20.399999999999999">
      <c r="B2" s="1363" t="s">
        <v>480</v>
      </c>
      <c r="C2" s="1363"/>
      <c r="D2" s="1363"/>
      <c r="E2" s="1363"/>
      <c r="F2" s="1363"/>
      <c r="G2" s="1363"/>
      <c r="H2" s="1363"/>
      <c r="I2" s="1363"/>
      <c r="J2" s="1363"/>
      <c r="K2" s="1363"/>
      <c r="L2" s="1363"/>
    </row>
    <row r="3" spans="2:21" ht="21" thickBot="1">
      <c r="B3" s="1363" t="str">
        <f>" AND  "&amp;IF('KEY INPUTS'!C42="State Fiscal Year","FISCAL  YEAR  "&amp;'KEY INPUTS'!D33+1&amp;"",'KEY INPUTS'!D34+1)&amp;"  DEBT  SERVICE  FOR  LOANS"</f>
        <v xml:space="preserve"> AND  2025  DEBT  SERVICE  FOR  LOANS</v>
      </c>
      <c r="C3" s="1363"/>
      <c r="D3" s="1363"/>
      <c r="E3" s="1363"/>
      <c r="F3" s="1363"/>
      <c r="G3" s="1363"/>
      <c r="H3" s="1363"/>
      <c r="I3" s="1363"/>
      <c r="J3" s="1363"/>
      <c r="K3" s="1363"/>
      <c r="L3" s="1363"/>
    </row>
    <row r="4" spans="2:21" ht="16.2" thickBot="1">
      <c r="B4" s="1360" t="str">
        <f>UPPER('KEY INPUTS'!D$55)&amp;" UTILITY "&amp;IF(R4&lt;&gt;"",(UPPER(R4)),"")&amp;" LOAN"</f>
        <v>SEWER UTILITY  LOAN</v>
      </c>
      <c r="C4" s="1360"/>
      <c r="D4" s="1360"/>
      <c r="E4" s="1360"/>
      <c r="F4" s="1360"/>
      <c r="G4" s="1360"/>
      <c r="H4" s="1360"/>
      <c r="I4" s="1360"/>
      <c r="J4" s="1360"/>
      <c r="K4" s="1360"/>
      <c r="L4" s="1360"/>
      <c r="Q4" s="1056" t="s">
        <v>3576</v>
      </c>
      <c r="R4" s="1057"/>
    </row>
    <row r="5" spans="2:21" ht="9.75" customHeight="1" thickBot="1">
      <c r="B5" s="383"/>
      <c r="C5" s="383"/>
      <c r="D5" s="383"/>
      <c r="E5" s="383"/>
      <c r="F5" s="383"/>
      <c r="G5" s="383"/>
      <c r="H5" s="383"/>
      <c r="I5" s="383"/>
      <c r="J5" s="383"/>
      <c r="K5" s="383"/>
      <c r="L5" s="383"/>
    </row>
    <row r="6" spans="2:21" ht="27.75" customHeight="1" thickTop="1" thickBot="1">
      <c r="B6" s="364"/>
      <c r="C6" s="364"/>
      <c r="D6" s="364"/>
      <c r="E6" s="364"/>
      <c r="F6" s="364"/>
      <c r="G6" s="304" t="s">
        <v>96</v>
      </c>
      <c r="H6" s="1401" t="s">
        <v>97</v>
      </c>
      <c r="I6" s="1351"/>
      <c r="J6" s="1407" t="str">
        <f>IF('KEY INPUTS'!C42="State Fiscal Year","Fiscal Year "&amp;'KEY INPUTS'!D33+1&amp;"",'KEY INPUTS'!D34+1)&amp;"  Debt Service"</f>
        <v>2025  Debt Service</v>
      </c>
      <c r="K6" s="1407"/>
      <c r="L6" s="1407"/>
      <c r="O6"/>
      <c r="P6"/>
      <c r="Q6"/>
      <c r="R6"/>
      <c r="S6"/>
      <c r="T6"/>
      <c r="U6"/>
    </row>
    <row r="7" spans="2:21" ht="21" customHeight="1" thickTop="1">
      <c r="B7" s="363" t="str">
        <f>'49a-Utility2'!B7</f>
        <v>Outstanding - January 1, 2024</v>
      </c>
      <c r="C7" s="313"/>
      <c r="D7" s="313"/>
      <c r="E7" s="313"/>
      <c r="F7" s="313"/>
      <c r="G7" s="137" t="s">
        <v>627</v>
      </c>
      <c r="H7" s="1293"/>
      <c r="I7" s="1294"/>
      <c r="O7"/>
      <c r="P7"/>
      <c r="Q7"/>
      <c r="R7"/>
      <c r="S7"/>
      <c r="T7"/>
      <c r="U7"/>
    </row>
    <row r="8" spans="2:21" ht="21" customHeight="1">
      <c r="B8" s="248" t="s">
        <v>92</v>
      </c>
      <c r="C8" s="248"/>
      <c r="D8" s="248"/>
      <c r="E8" s="248"/>
      <c r="F8" s="248"/>
      <c r="G8" s="138" t="s">
        <v>627</v>
      </c>
      <c r="H8" s="1291"/>
      <c r="I8" s="1292"/>
      <c r="O8" s="294"/>
      <c r="P8"/>
      <c r="Q8"/>
      <c r="R8"/>
      <c r="S8"/>
      <c r="T8"/>
      <c r="U8"/>
    </row>
    <row r="9" spans="2:21" ht="21" customHeight="1">
      <c r="B9" s="248"/>
      <c r="C9" s="248"/>
      <c r="D9" s="248"/>
      <c r="E9" s="248"/>
      <c r="F9" s="248"/>
      <c r="G9" s="138"/>
      <c r="H9" s="609"/>
      <c r="I9" s="719"/>
      <c r="O9"/>
      <c r="P9"/>
      <c r="Q9"/>
      <c r="R9"/>
      <c r="S9"/>
      <c r="T9"/>
      <c r="U9"/>
    </row>
    <row r="10" spans="2:21" ht="21" customHeight="1">
      <c r="B10" s="248" t="s">
        <v>254</v>
      </c>
      <c r="C10" s="248"/>
      <c r="D10" s="248"/>
      <c r="E10" s="248"/>
      <c r="F10" s="248"/>
      <c r="G10" s="450"/>
      <c r="H10" s="1266" t="s">
        <v>627</v>
      </c>
      <c r="I10" s="1267"/>
      <c r="O10"/>
      <c r="P10"/>
      <c r="Q10"/>
      <c r="R10"/>
      <c r="S10"/>
      <c r="T10"/>
      <c r="U10"/>
    </row>
    <row r="11" spans="2:21" ht="21" customHeight="1" thickBot="1">
      <c r="B11" s="248" t="str">
        <f>'49a-Utility2'!B11</f>
        <v>Outstanding - December 31, 2024</v>
      </c>
      <c r="C11" s="248"/>
      <c r="D11" s="248"/>
      <c r="E11" s="248"/>
      <c r="F11" s="248"/>
      <c r="G11" s="133">
        <f>+H7+H8-G10</f>
        <v>0</v>
      </c>
      <c r="H11" s="1270" t="s">
        <v>627</v>
      </c>
      <c r="I11" s="1271"/>
      <c r="O11"/>
      <c r="P11"/>
      <c r="Q11"/>
      <c r="R11"/>
      <c r="S11"/>
      <c r="T11"/>
      <c r="U11"/>
    </row>
    <row r="12" spans="2:21" ht="21" customHeight="1" thickBot="1">
      <c r="G12" s="129">
        <f>SUM(G7:G11)</f>
        <v>0</v>
      </c>
      <c r="H12" s="1315">
        <f>SUM(H7:I11)</f>
        <v>0</v>
      </c>
      <c r="I12" s="1316"/>
      <c r="O12"/>
      <c r="P12"/>
      <c r="Q12"/>
      <c r="R12"/>
      <c r="S12"/>
      <c r="T12"/>
      <c r="U12"/>
    </row>
    <row r="13" spans="2:21" ht="21" customHeight="1" thickTop="1">
      <c r="B13" s="333" t="str">
        <f>'49a-Utility2'!B13</f>
        <v>2025 Loan Maturities</v>
      </c>
      <c r="C13" s="333"/>
      <c r="D13" s="333"/>
      <c r="E13" s="333"/>
      <c r="F13" s="333"/>
      <c r="G13" s="333"/>
      <c r="H13" s="333"/>
      <c r="I13" s="381"/>
      <c r="J13" s="333" t="s">
        <v>373</v>
      </c>
      <c r="K13" s="1311"/>
      <c r="L13" s="1311"/>
      <c r="O13"/>
      <c r="P13"/>
      <c r="Q13"/>
      <c r="R13"/>
      <c r="S13"/>
      <c r="T13"/>
      <c r="U13"/>
    </row>
    <row r="14" spans="2:21" ht="21" customHeight="1" thickBot="1">
      <c r="B14" s="311" t="str">
        <f>'49a-Utility2'!B14</f>
        <v>2025 Interest on Loans</v>
      </c>
      <c r="C14" s="311"/>
      <c r="D14" s="311"/>
      <c r="E14" s="311"/>
      <c r="F14" s="311"/>
      <c r="G14" s="380"/>
      <c r="H14" s="311" t="s">
        <v>373</v>
      </c>
      <c r="I14" s="519"/>
      <c r="O14"/>
      <c r="P14"/>
      <c r="Q14"/>
      <c r="R14"/>
      <c r="S14"/>
      <c r="T14"/>
      <c r="U14"/>
    </row>
    <row r="15" spans="2:21" ht="16.5" customHeight="1" thickTop="1" thickBot="1">
      <c r="B15" s="1402"/>
      <c r="C15" s="1402"/>
      <c r="D15" s="1402"/>
      <c r="E15" s="1402"/>
      <c r="F15" s="1402"/>
      <c r="G15" s="1402"/>
      <c r="H15" s="1402"/>
      <c r="I15" s="1403"/>
      <c r="O15"/>
      <c r="P15"/>
      <c r="Q15"/>
      <c r="R15"/>
      <c r="S15"/>
      <c r="T15"/>
      <c r="U15"/>
    </row>
    <row r="16" spans="2:21" ht="16.2" thickBot="1">
      <c r="B16" s="1420" t="str">
        <f>UPPER('KEY INPUTS'!D$55)&amp;" UTILITY "&amp;IF(R16&lt;&gt;"",(UPPER(R16)),"")&amp;" LOAN"</f>
        <v>SEWER UTILITY  LOAN</v>
      </c>
      <c r="C16" s="1420"/>
      <c r="D16" s="1420"/>
      <c r="E16" s="1420"/>
      <c r="F16" s="1420"/>
      <c r="G16" s="1420"/>
      <c r="H16" s="1420"/>
      <c r="I16" s="1421"/>
      <c r="O16"/>
      <c r="P16"/>
      <c r="Q16" s="1056" t="s">
        <v>3576</v>
      </c>
      <c r="R16" s="1057"/>
      <c r="S16"/>
      <c r="T16"/>
      <c r="U16"/>
    </row>
    <row r="17" spans="2:21" ht="21" customHeight="1" thickTop="1">
      <c r="B17" s="363" t="str">
        <f>B7</f>
        <v>Outstanding - January 1, 2024</v>
      </c>
      <c r="C17" s="313"/>
      <c r="D17" s="313"/>
      <c r="E17" s="313"/>
      <c r="F17" s="313"/>
      <c r="G17" s="137" t="s">
        <v>627</v>
      </c>
      <c r="H17" s="1293"/>
      <c r="I17" s="1294"/>
      <c r="O17"/>
      <c r="P17"/>
      <c r="Q17"/>
      <c r="R17"/>
      <c r="S17"/>
      <c r="T17"/>
      <c r="U17"/>
    </row>
    <row r="18" spans="2:21" ht="21" customHeight="1">
      <c r="B18" s="248" t="s">
        <v>92</v>
      </c>
      <c r="C18" s="248"/>
      <c r="D18" s="248"/>
      <c r="E18" s="248"/>
      <c r="F18" s="248"/>
      <c r="G18" s="138" t="s">
        <v>627</v>
      </c>
      <c r="H18" s="1291"/>
      <c r="I18" s="1292"/>
      <c r="O18"/>
      <c r="P18"/>
      <c r="Q18"/>
      <c r="R18"/>
      <c r="S18"/>
      <c r="T18"/>
      <c r="U18"/>
    </row>
    <row r="19" spans="2:21" ht="21" customHeight="1">
      <c r="B19" s="248" t="s">
        <v>254</v>
      </c>
      <c r="C19" s="248"/>
      <c r="D19" s="248"/>
      <c r="E19" s="248"/>
      <c r="F19" s="248"/>
      <c r="G19" s="450"/>
      <c r="H19" s="1266" t="s">
        <v>627</v>
      </c>
      <c r="I19" s="1267"/>
      <c r="O19"/>
      <c r="P19"/>
      <c r="Q19"/>
      <c r="R19"/>
      <c r="S19"/>
      <c r="T19"/>
      <c r="U19"/>
    </row>
    <row r="20" spans="2:21" ht="21" customHeight="1">
      <c r="B20" s="248"/>
      <c r="C20" s="248"/>
      <c r="D20" s="248"/>
      <c r="E20" s="248"/>
      <c r="F20" s="248"/>
      <c r="G20" s="114"/>
      <c r="H20" s="1418"/>
      <c r="I20" s="1419"/>
      <c r="O20"/>
      <c r="P20"/>
      <c r="Q20"/>
      <c r="R20"/>
      <c r="S20"/>
      <c r="T20"/>
      <c r="U20"/>
    </row>
    <row r="21" spans="2:21" ht="21" customHeight="1">
      <c r="B21" s="248"/>
      <c r="C21" s="248"/>
      <c r="D21" s="248"/>
      <c r="E21" s="248"/>
      <c r="F21" s="248"/>
      <c r="G21" s="114"/>
      <c r="H21" s="1418"/>
      <c r="I21" s="1419"/>
      <c r="O21"/>
      <c r="P21"/>
      <c r="Q21"/>
      <c r="R21"/>
      <c r="S21"/>
      <c r="T21"/>
      <c r="U21"/>
    </row>
    <row r="22" spans="2:21" ht="21" customHeight="1" thickBot="1">
      <c r="B22" s="248" t="str">
        <f>B11</f>
        <v>Outstanding - December 31, 2024</v>
      </c>
      <c r="C22" s="248"/>
      <c r="D22" s="248"/>
      <c r="E22" s="248"/>
      <c r="F22" s="248"/>
      <c r="G22" s="133">
        <f>+H17+H18-G19-G20-G21+H20+H21</f>
        <v>0</v>
      </c>
      <c r="H22" s="1270" t="s">
        <v>627</v>
      </c>
      <c r="I22" s="1271"/>
      <c r="O22"/>
      <c r="P22"/>
      <c r="Q22"/>
      <c r="R22"/>
      <c r="S22"/>
      <c r="T22"/>
      <c r="U22"/>
    </row>
    <row r="23" spans="2:21" ht="21" customHeight="1" thickBot="1">
      <c r="G23" s="129">
        <f>SUM(G17:G22)</f>
        <v>0</v>
      </c>
      <c r="H23" s="1315">
        <f>SUM(H17:I22)</f>
        <v>0</v>
      </c>
      <c r="I23" s="1316"/>
    </row>
    <row r="24" spans="2:21" ht="21" customHeight="1" thickTop="1">
      <c r="B24" s="333" t="str">
        <f>B13</f>
        <v>2025 Loan Maturities</v>
      </c>
      <c r="C24" s="333"/>
      <c r="D24" s="333"/>
      <c r="E24" s="333"/>
      <c r="F24" s="333"/>
      <c r="G24" s="333"/>
      <c r="H24" s="333"/>
      <c r="I24" s="381"/>
      <c r="J24" s="333" t="s">
        <v>373</v>
      </c>
      <c r="K24" s="1311"/>
      <c r="L24" s="1311"/>
    </row>
    <row r="25" spans="2:21" ht="21" customHeight="1" thickBot="1">
      <c r="B25" s="311" t="str">
        <f>B14</f>
        <v>2025 Interest on Loans</v>
      </c>
      <c r="C25" s="311"/>
      <c r="D25" s="311"/>
      <c r="E25" s="311"/>
      <c r="F25" s="311"/>
      <c r="G25" s="380"/>
      <c r="H25" s="311" t="s">
        <v>373</v>
      </c>
      <c r="I25" s="456"/>
      <c r="J25" s="375"/>
      <c r="K25" s="311"/>
      <c r="L25" s="311"/>
    </row>
    <row r="26" spans="2:21" ht="21" customHeight="1" thickTop="1"/>
    <row r="27" spans="2:21" ht="19.5" customHeight="1" thickBot="1">
      <c r="B27" s="1420" t="str">
        <f>"INTEREST  ON  LOANS  - "&amp;UPPER('KEY INPUTS'!D55)&amp;"  UTILITY  BUDGET"</f>
        <v>INTEREST  ON  LOANS  - SEWER  UTILITY  BUDGET</v>
      </c>
      <c r="C27" s="1420"/>
      <c r="D27" s="1420"/>
      <c r="E27" s="1420"/>
      <c r="F27" s="1420"/>
      <c r="G27" s="1420"/>
      <c r="H27" s="1420"/>
      <c r="I27" s="1420"/>
      <c r="J27" s="1420"/>
      <c r="K27" s="1420"/>
      <c r="L27" s="1420"/>
    </row>
    <row r="28" spans="2:21" ht="21" customHeight="1" thickTop="1">
      <c r="B28" s="313" t="str">
        <f>'49a-Utility2'!B28</f>
        <v>2025 Interest on Loans (*Items)</v>
      </c>
      <c r="C28" s="313"/>
      <c r="D28" s="313"/>
      <c r="E28" s="313"/>
      <c r="F28" s="313"/>
      <c r="G28" s="313"/>
      <c r="H28" s="313" t="s">
        <v>373</v>
      </c>
      <c r="I28" s="384">
        <f>+I25+I14</f>
        <v>0</v>
      </c>
    </row>
    <row r="29" spans="2:21" ht="21" customHeight="1">
      <c r="B29" s="248" t="str">
        <f>'49a-Utility2'!B29</f>
        <v>Less: Interest Accrued to 12/31/2024 (Trial Balance)</v>
      </c>
      <c r="C29" s="248"/>
      <c r="D29" s="248"/>
      <c r="E29" s="248"/>
      <c r="F29" s="248"/>
      <c r="G29" s="248"/>
      <c r="H29" s="248" t="s">
        <v>373</v>
      </c>
      <c r="I29" s="449"/>
    </row>
    <row r="30" spans="2:21" ht="21" customHeight="1">
      <c r="B30" s="248"/>
      <c r="C30" s="248" t="s">
        <v>317</v>
      </c>
      <c r="D30" s="248"/>
      <c r="E30" s="248"/>
      <c r="F30" s="248"/>
      <c r="G30" s="248"/>
      <c r="H30" s="248" t="s">
        <v>373</v>
      </c>
      <c r="I30" s="379">
        <f>+I28-I29</f>
        <v>0</v>
      </c>
    </row>
    <row r="31" spans="2:21" ht="21" customHeight="1">
      <c r="B31" s="248" t="str">
        <f>'49a-Utility2'!B31</f>
        <v>Add: Interest to be Accrued as of 12/31/2025</v>
      </c>
      <c r="C31" s="248"/>
      <c r="D31" s="248"/>
      <c r="E31" s="248"/>
      <c r="F31" s="248"/>
      <c r="G31" s="248"/>
      <c r="H31" s="248" t="s">
        <v>373</v>
      </c>
      <c r="I31" s="449"/>
    </row>
    <row r="32" spans="2:21" ht="21" customHeight="1">
      <c r="B32" s="248" t="str">
        <f>'49a-Utility2'!B32</f>
        <v>Required Appropriation 2025</v>
      </c>
      <c r="C32" s="248"/>
      <c r="D32" s="248"/>
      <c r="E32" s="248"/>
      <c r="F32" s="248"/>
      <c r="G32" s="248"/>
      <c r="H32" s="248"/>
      <c r="I32" s="665"/>
      <c r="J32" s="376" t="s">
        <v>373</v>
      </c>
      <c r="K32" s="1414">
        <f>+I30+I31</f>
        <v>0</v>
      </c>
      <c r="L32" s="1415"/>
    </row>
    <row r="33" spans="2:12" ht="13.5" customHeight="1">
      <c r="K33" s="378"/>
      <c r="L33" s="302"/>
    </row>
    <row r="34" spans="2:12" ht="13.5" customHeight="1">
      <c r="K34" s="378"/>
      <c r="L34" s="302"/>
    </row>
    <row r="35" spans="2:12" ht="21" customHeight="1" thickBot="1">
      <c r="B35" s="1404" t="str">
        <f>'49-Utility1'!B35</f>
        <v>LIST  OF  BONDS  ISSUED  DURING  2024</v>
      </c>
      <c r="C35" s="1404"/>
      <c r="D35" s="1404"/>
      <c r="E35" s="1404"/>
      <c r="F35" s="1404"/>
      <c r="G35" s="1404"/>
      <c r="H35" s="1404"/>
      <c r="I35" s="1404"/>
      <c r="J35" s="1404"/>
      <c r="K35" s="1404"/>
      <c r="L35" s="1404"/>
    </row>
    <row r="36" spans="2:12" ht="27" customHeight="1" thickTop="1" thickBot="1">
      <c r="B36" s="1350" t="s">
        <v>413</v>
      </c>
      <c r="C36" s="1350"/>
      <c r="D36" s="1350"/>
      <c r="E36" s="1350"/>
      <c r="F36" s="1350"/>
      <c r="G36" s="304" t="str">
        <f>'49a-Utility2'!G36</f>
        <v>2025 Maturity</v>
      </c>
      <c r="H36" s="1401" t="s">
        <v>91</v>
      </c>
      <c r="I36" s="1351"/>
      <c r="J36" s="1399" t="s">
        <v>89</v>
      </c>
      <c r="K36" s="1400"/>
      <c r="L36" s="377" t="s">
        <v>90</v>
      </c>
    </row>
    <row r="37" spans="2:12" ht="21" customHeight="1" thickTop="1">
      <c r="B37" s="518"/>
      <c r="C37" s="518"/>
      <c r="D37" s="518"/>
      <c r="E37" s="518"/>
      <c r="F37" s="518"/>
      <c r="G37" s="454"/>
      <c r="H37" s="1293"/>
      <c r="I37" s="1294"/>
      <c r="J37" s="1422"/>
      <c r="K37" s="1417"/>
      <c r="L37" s="669"/>
    </row>
    <row r="38" spans="2:12" ht="21" customHeight="1">
      <c r="B38" s="495"/>
      <c r="C38" s="495"/>
      <c r="D38" s="495"/>
      <c r="E38" s="495"/>
      <c r="F38" s="495"/>
      <c r="G38" s="450"/>
      <c r="H38" s="1291"/>
      <c r="I38" s="1292"/>
      <c r="J38" s="1397"/>
      <c r="K38" s="1398"/>
      <c r="L38" s="670"/>
    </row>
    <row r="39" spans="2:12" ht="21" customHeight="1">
      <c r="B39" s="495"/>
      <c r="C39" s="495"/>
      <c r="D39" s="495"/>
      <c r="E39" s="495"/>
      <c r="F39" s="495"/>
      <c r="G39" s="450"/>
      <c r="H39" s="1291"/>
      <c r="I39" s="1292"/>
      <c r="J39" s="1397"/>
      <c r="K39" s="1398"/>
      <c r="L39" s="670"/>
    </row>
    <row r="40" spans="2:12" ht="21" customHeight="1">
      <c r="B40" s="495"/>
      <c r="C40" s="495"/>
      <c r="D40" s="495"/>
      <c r="E40" s="495"/>
      <c r="F40" s="495"/>
      <c r="G40" s="450"/>
      <c r="H40" s="1291"/>
      <c r="I40" s="1292"/>
      <c r="J40" s="1397"/>
      <c r="K40" s="1398"/>
      <c r="L40" s="670"/>
    </row>
    <row r="41" spans="2:12" ht="21" customHeight="1" thickBot="1">
      <c r="B41" s="311"/>
      <c r="C41" s="311"/>
      <c r="D41" s="311"/>
      <c r="E41" s="311"/>
      <c r="F41" s="310"/>
      <c r="G41" s="129">
        <f>SUM(G37:G40)</f>
        <v>0</v>
      </c>
      <c r="H41" s="1312">
        <f>SUM(H37:I40)</f>
        <v>0</v>
      </c>
      <c r="I41" s="1313"/>
      <c r="J41" s="375"/>
      <c r="K41" s="311"/>
      <c r="L41" s="315"/>
    </row>
    <row r="42" spans="2:12" ht="13.8" thickTop="1">
      <c r="G42" s="347"/>
      <c r="H42" s="347"/>
      <c r="I42" s="347"/>
    </row>
    <row r="51" spans="2:12" ht="13.8">
      <c r="B51" s="1353" t="s">
        <v>3355</v>
      </c>
      <c r="C51" s="1353"/>
      <c r="D51" s="1353"/>
      <c r="E51" s="1353"/>
      <c r="F51" s="1353"/>
      <c r="G51" s="1353"/>
      <c r="H51" s="1353"/>
      <c r="I51" s="1353"/>
      <c r="J51" s="1353"/>
      <c r="K51" s="1353"/>
      <c r="L51" s="1353"/>
    </row>
  </sheetData>
  <sheetProtection algorithmName="SHA-512" hashValue="IhNlQB/Edx1Oze2/M2wBnSyXjhLZVIBaXOe+aFJ46tIjQZnsG+yg+4bPBgXNW0PWcbZrrvaWASNinwrzyE9jmQ==" saltValue="IRDI1In09gnpNrzP2yzqCA=="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1:L51"/>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BC581-85A2-4A80-B633-8DDDE2AAE8FB}">
  <sheetPr codeName="Sheet295">
    <tabColor theme="3" tint="0.39997558519241921"/>
  </sheetPr>
  <dimension ref="A2:V30"/>
  <sheetViews>
    <sheetView zoomScaleNormal="100" zoomScaleSheetLayoutView="80" workbookViewId="0">
      <selection activeCell="H22" sqref="H22"/>
    </sheetView>
  </sheetViews>
  <sheetFormatPr defaultColWidth="8.88671875" defaultRowHeight="13.2"/>
  <cols>
    <col min="1" max="1" width="5.6640625" style="267" customWidth="1"/>
    <col min="2" max="3" width="4.88671875" style="267" customWidth="1"/>
    <col min="4" max="4" width="30.44140625" style="267" customWidth="1"/>
    <col min="5" max="11" width="15.6640625" style="267" customWidth="1"/>
    <col min="12" max="12" width="1.6640625" style="267" customWidth="1"/>
    <col min="13" max="13" width="12.6640625" style="267" customWidth="1"/>
    <col min="14" max="16384" width="8.88671875" style="267"/>
  </cols>
  <sheetData>
    <row r="2" spans="1:22" ht="20.399999999999999">
      <c r="B2" s="1363" t="str">
        <f>"DEBT  SERVICE  FOR  "&amp;UPPER('KEY INPUTS'!D55)&amp;"  UTILITY  NOTES  (OTHER  THAN  UTILITY  ASSESSMENT  NOTES)"</f>
        <v>DEBT  SERVICE  FOR  SEWER  UTILITY  NOTES  (OTHER  THAN  UTILITY  ASSESSMENT  NOTES)</v>
      </c>
      <c r="C2" s="1363"/>
      <c r="D2" s="1363"/>
      <c r="E2" s="1363"/>
      <c r="F2" s="1363"/>
      <c r="G2" s="1363"/>
      <c r="H2" s="1363"/>
      <c r="I2" s="1363"/>
      <c r="J2" s="1363"/>
      <c r="K2" s="1363"/>
      <c r="L2" s="1363"/>
      <c r="M2" s="1363"/>
    </row>
    <row r="3" spans="1:22" ht="21" thickBot="1">
      <c r="B3" s="1363"/>
      <c r="C3" s="1363"/>
      <c r="D3" s="1363"/>
      <c r="E3" s="1363"/>
      <c r="F3" s="1363"/>
      <c r="G3" s="1363"/>
      <c r="H3" s="1363"/>
      <c r="I3" s="1363"/>
      <c r="J3" s="1363"/>
      <c r="K3" s="1363"/>
      <c r="L3" s="1363"/>
      <c r="M3" s="1363"/>
    </row>
    <row r="4" spans="1:22" ht="13.5" customHeight="1" thickTop="1">
      <c r="B4" s="323"/>
      <c r="C4" s="323"/>
      <c r="D4" s="323"/>
      <c r="E4" s="324"/>
      <c r="F4" s="324"/>
      <c r="G4" s="324"/>
      <c r="H4" s="324"/>
      <c r="I4" s="324"/>
      <c r="J4" s="323"/>
      <c r="K4" s="846"/>
      <c r="L4" s="323"/>
      <c r="M4" s="847"/>
    </row>
    <row r="5" spans="1:22" ht="13.5" customHeight="1">
      <c r="E5" s="320" t="s">
        <v>139</v>
      </c>
      <c r="F5" s="319" t="s">
        <v>139</v>
      </c>
      <c r="G5" s="319" t="s">
        <v>414</v>
      </c>
      <c r="H5" s="319" t="s">
        <v>17</v>
      </c>
      <c r="I5" s="319" t="s">
        <v>542</v>
      </c>
      <c r="J5" s="1423" t="str">
        <f>IF('KEY INPUTS'!C42="State Fiscal Year","Fiscal Year "&amp;'KEY INPUTS'!D33+1&amp;"",'KEY INPUTS'!D34+1)&amp;""</f>
        <v>2025</v>
      </c>
      <c r="K5" s="1424"/>
      <c r="L5" s="848"/>
      <c r="M5" s="849" t="s">
        <v>543</v>
      </c>
    </row>
    <row r="6" spans="1:22" ht="13.5" customHeight="1">
      <c r="C6" s="1352" t="s">
        <v>138</v>
      </c>
      <c r="D6" s="1427"/>
      <c r="E6" s="320" t="s">
        <v>414</v>
      </c>
      <c r="F6" s="319" t="s">
        <v>140</v>
      </c>
      <c r="G6" s="319" t="s">
        <v>539</v>
      </c>
      <c r="H6" s="319" t="s">
        <v>540</v>
      </c>
      <c r="I6" s="319" t="s">
        <v>540</v>
      </c>
      <c r="J6" s="1425"/>
      <c r="K6" s="1426"/>
      <c r="L6" s="850"/>
      <c r="M6" s="849" t="s">
        <v>546</v>
      </c>
    </row>
    <row r="7" spans="1:22" ht="13.5" customHeight="1">
      <c r="E7" s="320" t="s">
        <v>92</v>
      </c>
      <c r="F7" s="320" t="s">
        <v>141</v>
      </c>
      <c r="G7" s="320" t="s">
        <v>198</v>
      </c>
      <c r="H7" s="320" t="s">
        <v>541</v>
      </c>
      <c r="I7" s="320" t="s">
        <v>543</v>
      </c>
      <c r="J7" s="320" t="s">
        <v>113</v>
      </c>
      <c r="K7" s="320" t="s">
        <v>544</v>
      </c>
      <c r="L7" s="319"/>
      <c r="M7" s="849" t="s">
        <v>547</v>
      </c>
    </row>
    <row r="8" spans="1:22" ht="13.5" customHeight="1" thickBot="1">
      <c r="B8" s="318"/>
      <c r="C8" s="318"/>
      <c r="D8" s="318"/>
      <c r="E8" s="316"/>
      <c r="F8" s="316"/>
      <c r="G8" s="605" t="str">
        <f>IF('KEY INPUTS'!C42 = "State Fiscal Year", 'KEY INPUTS'!F47,'KEY INPUTS'!D47)</f>
        <v>Dec. 31, 2024</v>
      </c>
      <c r="H8" s="316"/>
      <c r="I8" s="316"/>
      <c r="J8" s="317"/>
      <c r="K8" s="402"/>
      <c r="L8" s="851"/>
      <c r="M8" s="852"/>
      <c r="P8"/>
      <c r="Q8"/>
      <c r="R8"/>
      <c r="S8"/>
      <c r="T8"/>
      <c r="U8"/>
      <c r="V8"/>
    </row>
    <row r="9" spans="1:22" ht="21" customHeight="1" thickTop="1">
      <c r="B9" s="399" t="s">
        <v>292</v>
      </c>
      <c r="C9" s="518"/>
      <c r="D9" s="520"/>
      <c r="E9" s="454"/>
      <c r="F9" s="950"/>
      <c r="G9" s="454"/>
      <c r="H9" s="964"/>
      <c r="I9" s="606"/>
      <c r="J9" s="454"/>
      <c r="K9" s="454">
        <f>+I9*G9</f>
        <v>0</v>
      </c>
      <c r="L9" s="965"/>
      <c r="M9" s="966"/>
      <c r="P9"/>
      <c r="Q9"/>
      <c r="R9"/>
      <c r="S9"/>
      <c r="T9"/>
      <c r="U9"/>
      <c r="V9"/>
    </row>
    <row r="10" spans="1:22" ht="21" customHeight="1">
      <c r="B10" s="398" t="s">
        <v>293</v>
      </c>
      <c r="C10" s="524"/>
      <c r="D10" s="499"/>
      <c r="E10" s="450"/>
      <c r="F10" s="951"/>
      <c r="G10" s="450"/>
      <c r="H10" s="967"/>
      <c r="I10" s="471"/>
      <c r="J10" s="968"/>
      <c r="K10" s="450">
        <f>+I10*G10</f>
        <v>0</v>
      </c>
      <c r="L10" s="479"/>
      <c r="M10" s="969"/>
      <c r="N10" s="267" t="s">
        <v>3131</v>
      </c>
      <c r="O10" s="267" t="s">
        <v>3131</v>
      </c>
      <c r="P10" s="294"/>
      <c r="Q10"/>
      <c r="R10"/>
      <c r="S10"/>
      <c r="T10"/>
      <c r="U10"/>
      <c r="V10"/>
    </row>
    <row r="11" spans="1:22" ht="21" customHeight="1">
      <c r="B11" s="398" t="s">
        <v>294</v>
      </c>
      <c r="C11" s="495"/>
      <c r="D11" s="499"/>
      <c r="E11" s="450"/>
      <c r="F11" s="529"/>
      <c r="G11" s="450"/>
      <c r="H11" s="450"/>
      <c r="I11" s="471"/>
      <c r="J11" s="450"/>
      <c r="K11" s="450"/>
      <c r="L11" s="479"/>
      <c r="M11" s="528"/>
      <c r="P11"/>
      <c r="Q11"/>
      <c r="R11"/>
      <c r="S11"/>
      <c r="T11"/>
      <c r="U11"/>
      <c r="V11"/>
    </row>
    <row r="12" spans="1:22" ht="21" customHeight="1">
      <c r="B12" s="398" t="s">
        <v>295</v>
      </c>
      <c r="C12" s="495"/>
      <c r="D12" s="499"/>
      <c r="E12" s="450"/>
      <c r="F12" s="529"/>
      <c r="G12" s="450"/>
      <c r="H12" s="450"/>
      <c r="I12" s="471"/>
      <c r="J12" s="450"/>
      <c r="K12" s="450"/>
      <c r="L12" s="479"/>
      <c r="M12" s="528"/>
      <c r="P12"/>
      <c r="Q12"/>
      <c r="R12"/>
      <c r="S12"/>
      <c r="T12"/>
      <c r="U12"/>
      <c r="V12"/>
    </row>
    <row r="13" spans="1:22" ht="21" customHeight="1">
      <c r="B13" s="398" t="s">
        <v>296</v>
      </c>
      <c r="C13" s="495"/>
      <c r="D13" s="499"/>
      <c r="E13" s="450"/>
      <c r="F13" s="529"/>
      <c r="G13" s="450"/>
      <c r="H13" s="450"/>
      <c r="I13" s="471"/>
      <c r="J13" s="450"/>
      <c r="K13" s="450"/>
      <c r="L13" s="479"/>
      <c r="M13" s="528"/>
      <c r="P13"/>
      <c r="Q13"/>
      <c r="R13"/>
      <c r="S13"/>
      <c r="T13"/>
      <c r="U13"/>
      <c r="V13"/>
    </row>
    <row r="14" spans="1:22" ht="21" customHeight="1">
      <c r="B14" s="398" t="s">
        <v>297</v>
      </c>
      <c r="C14" s="495"/>
      <c r="D14" s="499"/>
      <c r="E14" s="453"/>
      <c r="F14" s="530"/>
      <c r="G14" s="453"/>
      <c r="H14" s="453"/>
      <c r="I14" s="474"/>
      <c r="J14" s="450"/>
      <c r="K14" s="450"/>
      <c r="L14" s="479"/>
      <c r="M14" s="528"/>
      <c r="P14"/>
      <c r="Q14"/>
      <c r="R14"/>
      <c r="S14"/>
      <c r="T14"/>
      <c r="U14"/>
      <c r="V14"/>
    </row>
    <row r="15" spans="1:22" ht="21" customHeight="1">
      <c r="A15" s="1367" t="s">
        <v>3167</v>
      </c>
      <c r="B15" s="398" t="s">
        <v>298</v>
      </c>
      <c r="C15" s="531"/>
      <c r="D15" s="532"/>
      <c r="E15" s="450"/>
      <c r="F15" s="529"/>
      <c r="G15" s="450"/>
      <c r="H15" s="450"/>
      <c r="I15" s="471"/>
      <c r="J15" s="450"/>
      <c r="K15" s="450"/>
      <c r="L15" s="479"/>
      <c r="M15" s="528"/>
      <c r="P15"/>
      <c r="Q15"/>
      <c r="R15"/>
      <c r="S15"/>
      <c r="T15"/>
      <c r="U15"/>
      <c r="V15"/>
    </row>
    <row r="16" spans="1:22" ht="21" customHeight="1">
      <c r="A16" s="1367"/>
      <c r="B16" s="398" t="s">
        <v>384</v>
      </c>
      <c r="C16" s="495"/>
      <c r="D16" s="499"/>
      <c r="E16" s="450"/>
      <c r="F16" s="529"/>
      <c r="G16" s="450"/>
      <c r="H16" s="450"/>
      <c r="I16" s="471"/>
      <c r="J16" s="450"/>
      <c r="K16" s="450"/>
      <c r="L16" s="479"/>
      <c r="M16" s="528"/>
      <c r="P16"/>
      <c r="Q16"/>
      <c r="R16"/>
      <c r="S16"/>
      <c r="T16"/>
      <c r="U16"/>
      <c r="V16"/>
    </row>
    <row r="17" spans="1:22" ht="21" customHeight="1">
      <c r="A17" s="1367"/>
      <c r="B17" s="398" t="s">
        <v>385</v>
      </c>
      <c r="C17" s="495"/>
      <c r="D17" s="499"/>
      <c r="E17" s="450"/>
      <c r="F17" s="529"/>
      <c r="G17" s="450"/>
      <c r="H17" s="450"/>
      <c r="I17" s="471"/>
      <c r="J17" s="450"/>
      <c r="K17" s="450"/>
      <c r="L17" s="479"/>
      <c r="M17" s="528"/>
      <c r="P17"/>
      <c r="Q17"/>
      <c r="R17"/>
      <c r="S17"/>
      <c r="T17"/>
      <c r="U17"/>
      <c r="V17"/>
    </row>
    <row r="18" spans="1:22" ht="21" customHeight="1">
      <c r="A18" s="397"/>
      <c r="B18" s="538" t="s">
        <v>786</v>
      </c>
      <c r="C18" s="248"/>
      <c r="D18" s="312"/>
      <c r="E18" s="114">
        <f>SUM(E9:E17)</f>
        <v>0</v>
      </c>
      <c r="F18" s="534"/>
      <c r="G18" s="114">
        <f>SUM(G9:G17)</f>
        <v>0</v>
      </c>
      <c r="H18" s="114"/>
      <c r="I18" s="970"/>
      <c r="J18" s="114">
        <f>SUM(J9:J17)</f>
        <v>0</v>
      </c>
      <c r="K18" s="114">
        <f>SUM(K9:K17)</f>
        <v>0</v>
      </c>
      <c r="L18" s="971"/>
      <c r="M18" s="537"/>
      <c r="P18"/>
      <c r="Q18"/>
      <c r="R18"/>
      <c r="S18"/>
      <c r="T18"/>
      <c r="U18"/>
      <c r="V18"/>
    </row>
    <row r="19" spans="1:22" ht="21" customHeight="1">
      <c r="A19" s="397"/>
      <c r="B19" s="368"/>
      <c r="E19" s="176"/>
      <c r="G19" s="176"/>
      <c r="H19" s="176"/>
      <c r="I19" s="972"/>
      <c r="J19" s="176"/>
      <c r="K19" s="176"/>
      <c r="L19" s="176"/>
      <c r="P19"/>
      <c r="Q19"/>
      <c r="R19"/>
      <c r="S19"/>
      <c r="T19"/>
      <c r="U19"/>
      <c r="V19"/>
    </row>
    <row r="20" spans="1:22" ht="21" customHeight="1">
      <c r="A20" s="397"/>
      <c r="B20" s="368"/>
      <c r="E20" s="176"/>
      <c r="G20" s="176"/>
      <c r="H20" s="176"/>
      <c r="I20" s="972"/>
      <c r="J20" s="176"/>
      <c r="K20" s="176"/>
      <c r="L20" s="176"/>
      <c r="P20"/>
      <c r="Q20"/>
      <c r="R20"/>
      <c r="S20"/>
      <c r="T20"/>
      <c r="U20"/>
      <c r="V20"/>
    </row>
    <row r="21" spans="1:22" ht="13.5" customHeight="1">
      <c r="B21" s="394"/>
      <c r="C21" s="309"/>
      <c r="D21" s="393"/>
      <c r="J21" s="385"/>
      <c r="P21"/>
      <c r="Q21"/>
      <c r="R21"/>
      <c r="S21"/>
      <c r="T21"/>
      <c r="U21"/>
      <c r="V21"/>
    </row>
    <row r="22" spans="1:22">
      <c r="B22" s="361" t="s">
        <v>40</v>
      </c>
      <c r="C22" s="385"/>
      <c r="D22" s="392"/>
      <c r="E22" s="385"/>
      <c r="I22" s="1392"/>
      <c r="J22" s="1392"/>
      <c r="K22" s="1392"/>
      <c r="L22" s="1392"/>
      <c r="M22" s="1392"/>
      <c r="P22"/>
      <c r="Q22"/>
      <c r="R22"/>
      <c r="S22"/>
      <c r="T22"/>
      <c r="U22"/>
      <c r="V22"/>
    </row>
    <row r="23" spans="1:22" ht="15.6" customHeight="1">
      <c r="B23" s="386" t="s">
        <v>41</v>
      </c>
      <c r="C23" s="386"/>
      <c r="D23" s="361" t="s">
        <v>3577</v>
      </c>
      <c r="E23" s="385"/>
      <c r="M23" s="61"/>
      <c r="P23"/>
      <c r="Q23"/>
      <c r="R23"/>
      <c r="S23"/>
      <c r="T23"/>
      <c r="U23"/>
      <c r="V23"/>
    </row>
    <row r="24" spans="1:22" ht="15.6" customHeight="1">
      <c r="B24" s="361"/>
      <c r="C24" s="361"/>
      <c r="D24" s="386" t="s">
        <v>42</v>
      </c>
      <c r="E24" s="385"/>
      <c r="M24" s="973"/>
      <c r="P24"/>
      <c r="Q24"/>
      <c r="R24"/>
      <c r="S24"/>
      <c r="T24"/>
      <c r="U24"/>
      <c r="V24"/>
    </row>
    <row r="25" spans="1:22" ht="15.6" customHeight="1">
      <c r="B25" s="361"/>
      <c r="C25" s="361"/>
      <c r="D25" s="361" t="s">
        <v>43</v>
      </c>
      <c r="E25" s="385"/>
      <c r="M25" s="61"/>
    </row>
    <row r="26" spans="1:22" ht="15.6" customHeight="1">
      <c r="B26" s="361"/>
      <c r="C26" s="361"/>
      <c r="D26" s="361" t="str">
        <f>"All notes with an original date of issue of "&amp;IF('KEY INPUTS'!C42="State Fiscal Year","FY "&amp;'KEY INPUTS'!D33-2&amp;"",'KEY INPUTS'!D34-2)&amp;" or prior require one legally payable installment to be budgeted if"</f>
        <v>All notes with an original date of issue of 2022 or prior require one legally payable installment to be budgeted if</v>
      </c>
      <c r="E26" s="385"/>
      <c r="M26" s="973"/>
    </row>
    <row r="27" spans="1:22" ht="15.6" customHeight="1">
      <c r="B27" s="361"/>
      <c r="C27" s="361"/>
      <c r="D27" s="361" t="str">
        <f>"it is contemplated that such notes will be renewed in "&amp;IF('KEY INPUTS'!C42="State Fiscal Year","FY "&amp;'KEY INPUTS'!D33+1&amp;"",'KEY INPUTS'!D34+1)&amp;" or written intent of permanent financing submitted."</f>
        <v>it is contemplated that such notes will be renewed in 2025 or written intent of permanent financing submitted.</v>
      </c>
      <c r="E27" s="385"/>
      <c r="M27" s="61"/>
    </row>
    <row r="28" spans="1:22">
      <c r="B28" s="361"/>
      <c r="C28" s="361"/>
      <c r="D28" s="361" t="s">
        <v>44</v>
      </c>
      <c r="E28" s="385"/>
    </row>
    <row r="29" spans="1:22">
      <c r="B29" s="385"/>
      <c r="C29" s="385"/>
      <c r="D29" s="386" t="s">
        <v>45</v>
      </c>
      <c r="E29" s="385"/>
    </row>
    <row r="30" spans="1:22">
      <c r="J30" s="385" t="s">
        <v>98</v>
      </c>
    </row>
  </sheetData>
  <sheetProtection algorithmName="SHA-512" hashValue="lK6YAQjH3U74/Pe0vchPcRWX6tIs/n8TnwbzgM/zUf7HJ6wL9vT6z+TVpP4dJXrGvwd3v6C8a70hoQajYSvaTg==" saltValue="43T0TIyqyDbwP81wFtvApA=="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F9DEA-0B4F-4A0F-AB4D-C6AA1E5DFC1A}">
  <sheetPr codeName="Sheet191">
    <tabColor theme="3" tint="0.39997558519241921"/>
  </sheetPr>
  <dimension ref="A2:V30"/>
  <sheetViews>
    <sheetView zoomScaleNormal="100" zoomScaleSheetLayoutView="80" workbookViewId="0">
      <selection activeCell="I14" sqref="I14"/>
    </sheetView>
  </sheetViews>
  <sheetFormatPr defaultColWidth="8.88671875" defaultRowHeight="13.2"/>
  <cols>
    <col min="1" max="1" width="5.6640625" style="267" customWidth="1"/>
    <col min="2" max="3" width="4.88671875" style="267" customWidth="1"/>
    <col min="4" max="4" width="30.44140625" style="267" customWidth="1"/>
    <col min="5" max="11" width="15.6640625" style="267" customWidth="1"/>
    <col min="12" max="12" width="1.6640625" style="267" customWidth="1"/>
    <col min="13" max="13" width="12.6640625" style="267" customWidth="1"/>
    <col min="14" max="16384" width="8.88671875" style="267"/>
  </cols>
  <sheetData>
    <row r="2" spans="1:22" ht="20.399999999999999">
      <c r="B2" s="1363" t="str">
        <f>"DEBT  SERVICE  FOR  "&amp;UPPER('KEY INPUTS'!D55)&amp;"  UTILITY  NOTES  (OTHER  THAN  UTILITY  ASSESSMENT  NOTES)"</f>
        <v>DEBT  SERVICE  FOR  SEWER  UTILITY  NOTES  (OTHER  THAN  UTILITY  ASSESSMENT  NOTES)</v>
      </c>
      <c r="C2" s="1363"/>
      <c r="D2" s="1363"/>
      <c r="E2" s="1363"/>
      <c r="F2" s="1363"/>
      <c r="G2" s="1363"/>
      <c r="H2" s="1363"/>
      <c r="I2" s="1363"/>
      <c r="J2" s="1363"/>
      <c r="K2" s="1363"/>
      <c r="L2" s="1363"/>
      <c r="M2" s="1363"/>
    </row>
    <row r="3" spans="1:22" ht="21" thickBot="1">
      <c r="B3" s="1363"/>
      <c r="C3" s="1363"/>
      <c r="D3" s="1363"/>
      <c r="E3" s="1363"/>
      <c r="F3" s="1363"/>
      <c r="G3" s="1363"/>
      <c r="H3" s="1363"/>
      <c r="I3" s="1363"/>
      <c r="J3" s="1363"/>
      <c r="K3" s="1363"/>
      <c r="L3" s="1363"/>
      <c r="M3" s="1363"/>
    </row>
    <row r="4" spans="1:22" ht="13.5" customHeight="1" thickTop="1">
      <c r="B4" s="323"/>
      <c r="C4" s="323"/>
      <c r="D4" s="323"/>
      <c r="E4" s="324"/>
      <c r="F4" s="324"/>
      <c r="G4" s="324"/>
      <c r="H4" s="324"/>
      <c r="I4" s="324"/>
      <c r="J4" s="323"/>
      <c r="K4" s="846"/>
      <c r="L4" s="323"/>
      <c r="M4" s="847"/>
    </row>
    <row r="5" spans="1:22" ht="13.5" customHeight="1">
      <c r="E5" s="320" t="s">
        <v>139</v>
      </c>
      <c r="F5" s="319" t="s">
        <v>139</v>
      </c>
      <c r="G5" s="319" t="s">
        <v>414</v>
      </c>
      <c r="H5" s="319" t="s">
        <v>17</v>
      </c>
      <c r="I5" s="319" t="s">
        <v>542</v>
      </c>
      <c r="J5" s="1423" t="str">
        <f>IF('KEY INPUTS'!C42="State Fiscal Year","Fiscal Year "&amp;'KEY INPUTS'!D33+1&amp;"",'KEY INPUTS'!D34+1)&amp;""</f>
        <v>2025</v>
      </c>
      <c r="K5" s="1424"/>
      <c r="L5" s="848"/>
      <c r="M5" s="849" t="s">
        <v>543</v>
      </c>
    </row>
    <row r="6" spans="1:22" ht="13.5" customHeight="1">
      <c r="C6" s="1352" t="s">
        <v>138</v>
      </c>
      <c r="D6" s="1427"/>
      <c r="E6" s="320" t="s">
        <v>414</v>
      </c>
      <c r="F6" s="319" t="s">
        <v>140</v>
      </c>
      <c r="G6" s="319" t="s">
        <v>539</v>
      </c>
      <c r="H6" s="319" t="s">
        <v>540</v>
      </c>
      <c r="I6" s="319" t="s">
        <v>540</v>
      </c>
      <c r="J6" s="1425"/>
      <c r="K6" s="1426"/>
      <c r="L6" s="850"/>
      <c r="M6" s="849" t="s">
        <v>546</v>
      </c>
    </row>
    <row r="7" spans="1:22" ht="13.5" customHeight="1">
      <c r="E7" s="320" t="s">
        <v>92</v>
      </c>
      <c r="F7" s="320" t="s">
        <v>141</v>
      </c>
      <c r="G7" s="320" t="s">
        <v>198</v>
      </c>
      <c r="H7" s="320" t="s">
        <v>541</v>
      </c>
      <c r="I7" s="320" t="s">
        <v>543</v>
      </c>
      <c r="J7" s="320" t="s">
        <v>113</v>
      </c>
      <c r="K7" s="320" t="s">
        <v>544</v>
      </c>
      <c r="L7" s="319"/>
      <c r="M7" s="849" t="s">
        <v>547</v>
      </c>
    </row>
    <row r="8" spans="1:22" ht="13.5" customHeight="1" thickBot="1">
      <c r="B8" s="318"/>
      <c r="C8" s="318"/>
      <c r="D8" s="318"/>
      <c r="E8" s="316"/>
      <c r="F8" s="316"/>
      <c r="G8" s="605" t="str">
        <f>IF('KEY INPUTS'!C42 = "State Fiscal Year", 'KEY INPUTS'!F47,'KEY INPUTS'!D47)</f>
        <v>Dec. 31, 2024</v>
      </c>
      <c r="H8" s="316"/>
      <c r="I8" s="316"/>
      <c r="J8" s="317"/>
      <c r="K8" s="402"/>
      <c r="L8" s="851"/>
      <c r="M8" s="852"/>
      <c r="P8"/>
      <c r="Q8"/>
      <c r="R8"/>
      <c r="S8"/>
      <c r="T8"/>
      <c r="U8"/>
      <c r="V8"/>
    </row>
    <row r="9" spans="1:22" ht="21" customHeight="1" thickTop="1">
      <c r="B9" s="399" t="s">
        <v>292</v>
      </c>
      <c r="C9" s="518"/>
      <c r="D9" s="520"/>
      <c r="E9" s="466"/>
      <c r="F9" s="950"/>
      <c r="G9" s="466"/>
      <c r="H9" s="522"/>
      <c r="I9" s="468"/>
      <c r="J9" s="466"/>
      <c r="K9" s="466"/>
      <c r="L9" s="477"/>
      <c r="M9" s="523"/>
      <c r="P9"/>
      <c r="Q9"/>
      <c r="R9"/>
      <c r="S9"/>
      <c r="T9"/>
      <c r="U9"/>
      <c r="V9"/>
    </row>
    <row r="10" spans="1:22" ht="21" customHeight="1">
      <c r="B10" s="398" t="s">
        <v>293</v>
      </c>
      <c r="C10" s="524"/>
      <c r="D10" s="499"/>
      <c r="E10" s="450"/>
      <c r="F10" s="951"/>
      <c r="G10" s="450"/>
      <c r="H10" s="450"/>
      <c r="I10" s="526"/>
      <c r="J10" s="527"/>
      <c r="K10" s="450"/>
      <c r="L10" s="479"/>
      <c r="M10" s="528"/>
      <c r="N10" s="267" t="s">
        <v>3131</v>
      </c>
      <c r="O10" s="267" t="s">
        <v>3131</v>
      </c>
      <c r="P10" s="294"/>
      <c r="Q10"/>
      <c r="R10"/>
      <c r="S10"/>
      <c r="T10"/>
      <c r="U10"/>
      <c r="V10"/>
    </row>
    <row r="11" spans="1:22" ht="21" customHeight="1">
      <c r="B11" s="398" t="s">
        <v>294</v>
      </c>
      <c r="C11" s="495"/>
      <c r="D11" s="499"/>
      <c r="E11" s="450"/>
      <c r="F11" s="529"/>
      <c r="G11" s="450"/>
      <c r="H11" s="450"/>
      <c r="I11" s="471"/>
      <c r="J11" s="450"/>
      <c r="K11" s="450"/>
      <c r="L11" s="479"/>
      <c r="M11" s="528"/>
      <c r="P11"/>
      <c r="Q11"/>
      <c r="R11"/>
      <c r="S11"/>
      <c r="T11"/>
      <c r="U11"/>
      <c r="V11"/>
    </row>
    <row r="12" spans="1:22" ht="21" customHeight="1">
      <c r="B12" s="398" t="s">
        <v>295</v>
      </c>
      <c r="C12" s="495"/>
      <c r="D12" s="499"/>
      <c r="E12" s="450"/>
      <c r="F12" s="529"/>
      <c r="G12" s="450"/>
      <c r="H12" s="450"/>
      <c r="I12" s="471"/>
      <c r="J12" s="450"/>
      <c r="K12" s="450"/>
      <c r="L12" s="479"/>
      <c r="M12" s="528"/>
      <c r="P12"/>
      <c r="Q12"/>
      <c r="R12"/>
      <c r="S12"/>
      <c r="T12"/>
      <c r="U12"/>
      <c r="V12"/>
    </row>
    <row r="13" spans="1:22" ht="21" customHeight="1">
      <c r="B13" s="398" t="s">
        <v>296</v>
      </c>
      <c r="C13" s="495"/>
      <c r="D13" s="499"/>
      <c r="E13" s="450"/>
      <c r="F13" s="529"/>
      <c r="G13" s="450"/>
      <c r="H13" s="450"/>
      <c r="I13" s="471"/>
      <c r="J13" s="450"/>
      <c r="K13" s="450"/>
      <c r="L13" s="479"/>
      <c r="M13" s="528"/>
      <c r="P13"/>
      <c r="Q13"/>
      <c r="R13"/>
      <c r="S13"/>
      <c r="T13"/>
      <c r="U13"/>
      <c r="V13"/>
    </row>
    <row r="14" spans="1:22" ht="21" customHeight="1">
      <c r="B14" s="398" t="s">
        <v>297</v>
      </c>
      <c r="C14" s="495"/>
      <c r="D14" s="499"/>
      <c r="E14" s="453"/>
      <c r="F14" s="530"/>
      <c r="G14" s="453"/>
      <c r="H14" s="453"/>
      <c r="I14" s="474"/>
      <c r="J14" s="450"/>
      <c r="K14" s="450"/>
      <c r="L14" s="479"/>
      <c r="M14" s="528"/>
      <c r="P14"/>
      <c r="Q14"/>
      <c r="R14"/>
      <c r="S14"/>
      <c r="T14"/>
      <c r="U14"/>
      <c r="V14"/>
    </row>
    <row r="15" spans="1:22" ht="21" customHeight="1">
      <c r="A15" s="1367" t="s">
        <v>3167</v>
      </c>
      <c r="B15" s="398" t="s">
        <v>298</v>
      </c>
      <c r="C15" s="531"/>
      <c r="D15" s="532"/>
      <c r="E15" s="450"/>
      <c r="F15" s="529"/>
      <c r="G15" s="450"/>
      <c r="H15" s="450"/>
      <c r="I15" s="471"/>
      <c r="J15" s="450"/>
      <c r="K15" s="450"/>
      <c r="L15" s="479"/>
      <c r="M15" s="528"/>
      <c r="P15"/>
      <c r="Q15"/>
      <c r="R15"/>
      <c r="S15"/>
      <c r="T15"/>
      <c r="U15"/>
      <c r="V15"/>
    </row>
    <row r="16" spans="1:22" ht="21" customHeight="1">
      <c r="A16" s="1367"/>
      <c r="B16" s="398" t="s">
        <v>384</v>
      </c>
      <c r="C16" s="495"/>
      <c r="D16" s="499"/>
      <c r="E16" s="450"/>
      <c r="F16" s="529"/>
      <c r="G16" s="450"/>
      <c r="H16" s="450"/>
      <c r="I16" s="471"/>
      <c r="J16" s="450"/>
      <c r="K16" s="450"/>
      <c r="L16" s="479"/>
      <c r="M16" s="528"/>
      <c r="P16"/>
      <c r="Q16"/>
      <c r="R16"/>
      <c r="S16"/>
      <c r="T16"/>
      <c r="U16"/>
      <c r="V16"/>
    </row>
    <row r="17" spans="1:22" ht="21" customHeight="1">
      <c r="A17" s="1367"/>
      <c r="B17" s="398" t="s">
        <v>385</v>
      </c>
      <c r="C17" s="495"/>
      <c r="D17" s="499"/>
      <c r="E17" s="450"/>
      <c r="F17" s="529"/>
      <c r="G17" s="450"/>
      <c r="H17" s="450"/>
      <c r="I17" s="471"/>
      <c r="J17" s="450"/>
      <c r="K17" s="450"/>
      <c r="L17" s="479"/>
      <c r="M17" s="528"/>
      <c r="P17"/>
      <c r="Q17"/>
      <c r="R17"/>
      <c r="S17"/>
      <c r="T17"/>
      <c r="U17"/>
      <c r="V17"/>
    </row>
    <row r="18" spans="1:22" ht="21" customHeight="1">
      <c r="A18" s="397"/>
      <c r="B18" s="538" t="s">
        <v>786</v>
      </c>
      <c r="C18" s="248"/>
      <c r="D18" s="312"/>
      <c r="E18" s="533">
        <f>SUM(E9:E17)+'50-Utility2'!E18</f>
        <v>0</v>
      </c>
      <c r="F18" s="534"/>
      <c r="G18" s="533">
        <f>SUM(G9:G17)+'50-Utility2'!G18</f>
        <v>0</v>
      </c>
      <c r="H18" s="533"/>
      <c r="I18" s="535"/>
      <c r="J18" s="533">
        <f>SUM(J9:J17)+'50-Utility2'!J18</f>
        <v>0</v>
      </c>
      <c r="K18" s="533">
        <f>SUM(K9:K17)+'50-Utility2'!K18</f>
        <v>0</v>
      </c>
      <c r="L18" s="536"/>
      <c r="M18" s="537"/>
      <c r="P18"/>
      <c r="Q18"/>
      <c r="R18"/>
      <c r="S18"/>
      <c r="T18"/>
      <c r="U18"/>
      <c r="V18"/>
    </row>
    <row r="19" spans="1:22" ht="21" customHeight="1">
      <c r="A19" s="397"/>
      <c r="B19" s="368"/>
      <c r="E19" s="908"/>
      <c r="G19" s="908"/>
      <c r="H19" s="908"/>
      <c r="I19" s="909"/>
      <c r="J19" s="908"/>
      <c r="K19" s="908"/>
      <c r="L19" s="908"/>
      <c r="P19"/>
      <c r="Q19"/>
      <c r="R19"/>
      <c r="S19"/>
      <c r="T19"/>
      <c r="U19"/>
      <c r="V19"/>
    </row>
    <row r="20" spans="1:22" ht="21" customHeight="1">
      <c r="A20" s="397"/>
      <c r="B20" s="368"/>
      <c r="E20" s="908"/>
      <c r="G20" s="908"/>
      <c r="H20" s="908"/>
      <c r="I20" s="909"/>
      <c r="J20" s="908"/>
      <c r="K20" s="908"/>
      <c r="L20" s="908"/>
      <c r="P20"/>
      <c r="Q20"/>
      <c r="R20"/>
      <c r="S20"/>
      <c r="T20"/>
      <c r="U20"/>
      <c r="V20"/>
    </row>
    <row r="21" spans="1:22" ht="13.5" customHeight="1" thickBot="1">
      <c r="B21" s="394"/>
      <c r="C21" s="309"/>
      <c r="D21" s="393"/>
      <c r="J21" s="385"/>
      <c r="P21"/>
      <c r="Q21"/>
      <c r="R21"/>
      <c r="S21"/>
      <c r="T21"/>
      <c r="U21"/>
      <c r="V21"/>
    </row>
    <row r="22" spans="1:22" ht="14.4" thickTop="1" thickBot="1">
      <c r="B22" s="361" t="s">
        <v>40</v>
      </c>
      <c r="C22" s="385"/>
      <c r="D22" s="392"/>
      <c r="E22" s="385"/>
      <c r="I22" s="1428" t="str">
        <f>"INTEREST  ON  NOTES  -  "&amp;UPPER('KEY INPUTS'!D55)&amp;" UTILITY  BUDGET"</f>
        <v>INTEREST  ON  NOTES  -  SEWER UTILITY  BUDGET</v>
      </c>
      <c r="J22" s="1429"/>
      <c r="K22" s="1429"/>
      <c r="L22" s="1429"/>
      <c r="M22" s="1430"/>
      <c r="P22"/>
      <c r="Q22"/>
      <c r="R22"/>
      <c r="S22"/>
      <c r="T22"/>
      <c r="U22"/>
      <c r="V22"/>
    </row>
    <row r="23" spans="1:22" ht="15.6" customHeight="1">
      <c r="B23" s="386" t="s">
        <v>41</v>
      </c>
      <c r="C23" s="386"/>
      <c r="D23" s="361" t="s">
        <v>3577</v>
      </c>
      <c r="E23" s="385"/>
      <c r="I23" s="391" t="str">
        <f>IF('KEY INPUTS'!C42="State Fiscal Year","Fiscal Year "&amp;'KEY INPUTS'!D33+1&amp;"",'KEY INPUTS'!D34+1)&amp;" Interest on Notes"</f>
        <v>2025 Interest on Notes</v>
      </c>
      <c r="J23" s="357"/>
      <c r="K23" s="357"/>
      <c r="L23" s="390" t="s">
        <v>373</v>
      </c>
      <c r="M23" s="843">
        <f>K18</f>
        <v>0</v>
      </c>
      <c r="P23"/>
      <c r="Q23"/>
      <c r="R23"/>
      <c r="S23"/>
      <c r="T23"/>
      <c r="U23"/>
      <c r="V23"/>
    </row>
    <row r="24" spans="1:22" ht="15.6" customHeight="1">
      <c r="B24" s="361"/>
      <c r="C24" s="361"/>
      <c r="D24" s="386" t="s">
        <v>42</v>
      </c>
      <c r="E24" s="385"/>
      <c r="I24" s="376" t="str">
        <f>"Less: Interest Accrued to "&amp;IF('KEY INPUTS'!C42="State Fiscal Year",(TEXT('KEY INPUTS'!F29,"mm/dd/yyy")),(TEXT('KEY INPUTS'!D29,"mm/dd/yyy")))&amp;" (Trial Balance)"</f>
        <v>Less: Interest Accrued to 12/31/2024 (Trial Balance)</v>
      </c>
      <c r="J24" s="248"/>
      <c r="K24" s="248"/>
      <c r="L24" s="389" t="s">
        <v>373</v>
      </c>
      <c r="M24" s="517"/>
      <c r="P24"/>
      <c r="Q24"/>
      <c r="R24"/>
      <c r="S24"/>
      <c r="T24"/>
      <c r="U24"/>
      <c r="V24"/>
    </row>
    <row r="25" spans="1:22" ht="15.6" customHeight="1">
      <c r="B25" s="361"/>
      <c r="C25" s="361"/>
      <c r="D25" s="361" t="s">
        <v>43</v>
      </c>
      <c r="E25" s="385"/>
      <c r="I25" s="376"/>
      <c r="J25" s="248" t="s">
        <v>317</v>
      </c>
      <c r="K25" s="248"/>
      <c r="L25" s="389" t="s">
        <v>373</v>
      </c>
      <c r="M25" s="252">
        <f>+M23-M24</f>
        <v>0</v>
      </c>
    </row>
    <row r="26" spans="1:22" ht="15.6" customHeight="1">
      <c r="B26" s="361"/>
      <c r="C26" s="361"/>
      <c r="D26" s="361" t="str">
        <f>"All notes with an original date of issue of "&amp;IF('KEY INPUTS'!C42="State Fiscal Year","FY "&amp;'KEY INPUTS'!D33-2&amp;"",'KEY INPUTS'!D34-2)&amp;" or prior require one legally payable installment to be budgeted if"</f>
        <v>All notes with an original date of issue of 2022 or prior require one legally payable installment to be budgeted if</v>
      </c>
      <c r="E26" s="385"/>
      <c r="I26" s="376" t="str">
        <f>"Add: Interest to be Accrued as of "&amp;IF('KEY INPUTS'!C42="State Fiscal Year",(TEXT('KEY INPUTS'!F30,"mm/dd/yyy")),(TEXT('KEY INPUTS'!D30,"mm/dd/yyy")))&amp;""</f>
        <v>Add: Interest to be Accrued as of 12/31/2025</v>
      </c>
      <c r="J26" s="248"/>
      <c r="K26" s="248"/>
      <c r="L26" s="389" t="s">
        <v>373</v>
      </c>
      <c r="M26" s="517"/>
    </row>
    <row r="27" spans="1:22" ht="15.6" customHeight="1" thickBot="1">
      <c r="B27" s="361"/>
      <c r="C27" s="361"/>
      <c r="D27" s="361" t="str">
        <f>"it is contemplated that such notes will be renewed in "&amp;IF('KEY INPUTS'!C42="State Fiscal Year","FY "&amp;'KEY INPUTS'!D33+1&amp;"",'KEY INPUTS'!D34+1)&amp;" or written intent of permanent financing submitted."</f>
        <v>it is contemplated that such notes will be renewed in 2025 or written intent of permanent financing submitted.</v>
      </c>
      <c r="E27" s="385"/>
      <c r="I27" s="315" t="str">
        <f>"Required Appropriation "&amp;IF('KEY INPUTS'!C42="State Fiscal Year","Fiscal Year "&amp;'KEY INPUTS'!D33+1&amp;"",'KEY INPUTS'!D34+1)&amp;""</f>
        <v>Required Appropriation 2025</v>
      </c>
      <c r="J27" s="318"/>
      <c r="K27" s="318"/>
      <c r="L27" s="388" t="s">
        <v>373</v>
      </c>
      <c r="M27" s="387">
        <f>+M25+M26</f>
        <v>0</v>
      </c>
    </row>
    <row r="28" spans="1:22" ht="13.8" thickTop="1">
      <c r="B28" s="361"/>
      <c r="C28" s="361"/>
      <c r="D28" s="361" t="s">
        <v>44</v>
      </c>
      <c r="E28" s="385"/>
    </row>
    <row r="29" spans="1:22">
      <c r="B29" s="385"/>
      <c r="C29" s="385"/>
      <c r="D29" s="386" t="s">
        <v>45</v>
      </c>
      <c r="E29" s="385"/>
    </row>
    <row r="30" spans="1:22">
      <c r="J30" s="385" t="s">
        <v>98</v>
      </c>
    </row>
  </sheetData>
  <sheetProtection algorithmName="SHA-512" hashValue="j4RztZtXV6Y0Hju9dcxy3If/Sl+7Ty5fT3Exb3k+LQIsTS0y2AeSmSWPu+Qtij8VXik7ayQBy5C16W+Psv3bRw==" saltValue="dx8/Vnoe3se7ql9YACW2pg=="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9090D-4004-42E3-9D24-1DA6AEFC9395}">
  <sheetPr codeName="Sheet192">
    <tabColor theme="3" tint="0.39997558519241921"/>
  </sheetPr>
  <dimension ref="A2:T29"/>
  <sheetViews>
    <sheetView zoomScaleNormal="100" zoomScaleSheetLayoutView="80" workbookViewId="0">
      <selection activeCell="C27" sqref="C27"/>
    </sheetView>
  </sheetViews>
  <sheetFormatPr defaultColWidth="9.109375" defaultRowHeight="13.2"/>
  <cols>
    <col min="1" max="1" width="5.6640625" style="267" customWidth="1"/>
    <col min="2" max="3" width="4.88671875" style="267" customWidth="1"/>
    <col min="4" max="4" width="31.5546875" style="267" customWidth="1"/>
    <col min="5" max="12" width="15.6640625" style="267" customWidth="1"/>
    <col min="13" max="16384" width="9.109375" style="267"/>
  </cols>
  <sheetData>
    <row r="2" spans="1:20" ht="20.399999999999999">
      <c r="B2" s="1363" t="str">
        <f>"DEBT  SERVICE  SCHEDULE  FOR  "&amp;UPPER('KEY INPUTS'!D55) &amp;"  UTILITY  ASSESSMENT  NOTES"</f>
        <v>DEBT  SERVICE  SCHEDULE  FOR  SEWER  UTILITY  ASSESSMENT  NOTES</v>
      </c>
      <c r="C2" s="1363"/>
      <c r="D2" s="1363"/>
      <c r="E2" s="1363"/>
      <c r="F2" s="1363"/>
      <c r="G2" s="1363"/>
      <c r="H2" s="1363"/>
      <c r="I2" s="1363"/>
      <c r="J2" s="1363"/>
      <c r="K2" s="1363"/>
      <c r="L2" s="1363"/>
    </row>
    <row r="3" spans="1:20" ht="21" thickBot="1">
      <c r="B3" s="1363"/>
      <c r="C3" s="1363"/>
      <c r="D3" s="1363"/>
      <c r="E3" s="1363"/>
      <c r="F3" s="1363"/>
      <c r="G3" s="1363"/>
      <c r="H3" s="1363"/>
      <c r="I3" s="1363"/>
      <c r="J3" s="1363"/>
      <c r="K3" s="1363"/>
      <c r="L3" s="1363"/>
    </row>
    <row r="4" spans="1:20" ht="13.5" customHeight="1" thickTop="1">
      <c r="B4" s="1433"/>
      <c r="C4" s="1433"/>
      <c r="D4" s="1434"/>
      <c r="E4" s="324"/>
      <c r="F4" s="324"/>
      <c r="G4" s="324"/>
      <c r="H4" s="324"/>
      <c r="I4" s="324"/>
      <c r="J4" s="323"/>
      <c r="K4" s="323"/>
      <c r="L4" s="322"/>
    </row>
    <row r="5" spans="1:20" ht="13.5" customHeight="1">
      <c r="E5" s="320" t="s">
        <v>139</v>
      </c>
      <c r="F5" s="319" t="s">
        <v>139</v>
      </c>
      <c r="G5" s="319" t="s">
        <v>414</v>
      </c>
      <c r="H5" s="319" t="s">
        <v>17</v>
      </c>
      <c r="I5" s="319" t="s">
        <v>542</v>
      </c>
      <c r="J5" s="1423" t="str">
        <f>IF('KEY INPUTS'!C42="State Fiscal Year","Fiscal Year "&amp;'KEY INPUTS'!D33+1&amp;"",'KEY INPUTS'!D34+1)&amp;""</f>
        <v>2025</v>
      </c>
      <c r="K5" s="1424"/>
      <c r="L5" s="321" t="s">
        <v>543</v>
      </c>
    </row>
    <row r="6" spans="1:20" ht="13.5" customHeight="1">
      <c r="C6" s="1352" t="s">
        <v>138</v>
      </c>
      <c r="D6" s="1427"/>
      <c r="E6" s="320" t="s">
        <v>414</v>
      </c>
      <c r="F6" s="319" t="s">
        <v>140</v>
      </c>
      <c r="G6" s="319" t="s">
        <v>539</v>
      </c>
      <c r="H6" s="319" t="s">
        <v>540</v>
      </c>
      <c r="I6" s="319" t="s">
        <v>540</v>
      </c>
      <c r="J6" s="1425"/>
      <c r="K6" s="1426"/>
      <c r="L6" s="321" t="s">
        <v>546</v>
      </c>
    </row>
    <row r="7" spans="1:20" ht="13.5" customHeight="1">
      <c r="E7" s="320" t="s">
        <v>92</v>
      </c>
      <c r="F7" s="320" t="s">
        <v>141</v>
      </c>
      <c r="G7" s="320" t="s">
        <v>198</v>
      </c>
      <c r="H7" s="320" t="s">
        <v>541</v>
      </c>
      <c r="I7" s="320" t="s">
        <v>543</v>
      </c>
      <c r="J7" s="320" t="s">
        <v>113</v>
      </c>
      <c r="K7" s="320" t="s">
        <v>544</v>
      </c>
      <c r="L7" s="321" t="s">
        <v>547</v>
      </c>
      <c r="N7"/>
      <c r="O7"/>
      <c r="P7"/>
      <c r="Q7"/>
      <c r="R7"/>
      <c r="S7"/>
      <c r="T7"/>
    </row>
    <row r="8" spans="1:20" ht="13.5" customHeight="1" thickBot="1">
      <c r="B8" s="318"/>
      <c r="C8" s="318"/>
      <c r="D8" s="318"/>
      <c r="E8" s="316"/>
      <c r="F8" s="316"/>
      <c r="G8" s="605" t="str">
        <f>IF('KEY INPUTS'!C42 = "State Fiscal Year", 'KEY INPUTS'!F47,'KEY INPUTS'!D47)</f>
        <v>Dec. 31, 2024</v>
      </c>
      <c r="H8" s="316"/>
      <c r="I8" s="316"/>
      <c r="J8" s="317"/>
      <c r="K8" s="402" t="s">
        <v>545</v>
      </c>
      <c r="L8" s="314"/>
      <c r="N8"/>
      <c r="O8"/>
      <c r="P8"/>
      <c r="Q8"/>
      <c r="R8"/>
      <c r="S8"/>
      <c r="T8"/>
    </row>
    <row r="9" spans="1:20" ht="21" customHeight="1" thickTop="1">
      <c r="B9" s="1435"/>
      <c r="C9" s="1435"/>
      <c r="D9" s="1436"/>
      <c r="E9" s="454"/>
      <c r="F9" s="539"/>
      <c r="G9" s="454"/>
      <c r="H9" s="454"/>
      <c r="I9" s="606"/>
      <c r="J9" s="454"/>
      <c r="K9" s="454"/>
      <c r="L9" s="540"/>
      <c r="N9" s="294"/>
      <c r="O9"/>
      <c r="P9"/>
      <c r="Q9"/>
      <c r="R9"/>
      <c r="S9"/>
      <c r="T9"/>
    </row>
    <row r="10" spans="1:20" ht="21" customHeight="1">
      <c r="B10" s="1431"/>
      <c r="C10" s="1431"/>
      <c r="D10" s="1432"/>
      <c r="E10" s="450"/>
      <c r="F10" s="529"/>
      <c r="G10" s="450"/>
      <c r="H10" s="450"/>
      <c r="I10" s="471"/>
      <c r="J10" s="450"/>
      <c r="K10" s="450"/>
      <c r="L10" s="541"/>
      <c r="N10"/>
      <c r="O10"/>
      <c r="P10"/>
      <c r="Q10"/>
      <c r="R10"/>
      <c r="S10"/>
      <c r="T10"/>
    </row>
    <row r="11" spans="1:20" ht="21" customHeight="1">
      <c r="B11" s="1431"/>
      <c r="C11" s="1431"/>
      <c r="D11" s="1432"/>
      <c r="E11" s="450"/>
      <c r="F11" s="529"/>
      <c r="G11" s="450"/>
      <c r="H11" s="450"/>
      <c r="I11" s="471"/>
      <c r="J11" s="450"/>
      <c r="K11" s="450"/>
      <c r="L11" s="541"/>
      <c r="N11"/>
      <c r="O11"/>
      <c r="P11"/>
      <c r="Q11"/>
      <c r="R11"/>
      <c r="S11"/>
      <c r="T11"/>
    </row>
    <row r="12" spans="1:20" ht="21" customHeight="1">
      <c r="B12" s="1431"/>
      <c r="C12" s="1431"/>
      <c r="D12" s="1432"/>
      <c r="E12" s="450"/>
      <c r="F12" s="529"/>
      <c r="G12" s="450"/>
      <c r="H12" s="450"/>
      <c r="I12" s="471"/>
      <c r="J12" s="450"/>
      <c r="K12" s="450"/>
      <c r="L12" s="541"/>
      <c r="N12"/>
      <c r="O12"/>
      <c r="P12"/>
      <c r="Q12"/>
      <c r="R12"/>
      <c r="S12"/>
      <c r="T12"/>
    </row>
    <row r="13" spans="1:20" ht="21" customHeight="1">
      <c r="B13" s="1431"/>
      <c r="C13" s="1431"/>
      <c r="D13" s="1432"/>
      <c r="E13" s="450"/>
      <c r="F13" s="529"/>
      <c r="G13" s="450"/>
      <c r="H13" s="450"/>
      <c r="I13" s="471"/>
      <c r="J13" s="450"/>
      <c r="K13" s="450"/>
      <c r="L13" s="541"/>
      <c r="N13"/>
      <c r="O13"/>
      <c r="P13"/>
      <c r="Q13"/>
      <c r="R13"/>
      <c r="S13"/>
      <c r="T13"/>
    </row>
    <row r="14" spans="1:20" ht="21" customHeight="1">
      <c r="B14" s="1431"/>
      <c r="C14" s="1431"/>
      <c r="D14" s="1432"/>
      <c r="E14" s="453"/>
      <c r="F14" s="530"/>
      <c r="G14" s="453"/>
      <c r="H14" s="453"/>
      <c r="I14" s="474"/>
      <c r="J14" s="450"/>
      <c r="K14" s="450"/>
      <c r="L14" s="541"/>
      <c r="N14"/>
      <c r="O14"/>
      <c r="P14"/>
      <c r="Q14"/>
      <c r="R14"/>
      <c r="S14"/>
      <c r="T14"/>
    </row>
    <row r="15" spans="1:20" ht="21" customHeight="1">
      <c r="A15" s="1367" t="s">
        <v>3168</v>
      </c>
      <c r="B15" s="1431"/>
      <c r="C15" s="1431"/>
      <c r="D15" s="1432"/>
      <c r="E15" s="450"/>
      <c r="F15" s="529"/>
      <c r="G15" s="450"/>
      <c r="H15" s="450"/>
      <c r="I15" s="471"/>
      <c r="J15" s="450"/>
      <c r="K15" s="450"/>
      <c r="L15" s="541"/>
      <c r="N15"/>
      <c r="O15"/>
      <c r="P15"/>
      <c r="Q15"/>
      <c r="R15"/>
      <c r="S15"/>
      <c r="T15"/>
    </row>
    <row r="16" spans="1:20" ht="21" customHeight="1">
      <c r="A16" s="1367"/>
      <c r="B16" s="1431"/>
      <c r="C16" s="1431"/>
      <c r="D16" s="1432"/>
      <c r="E16" s="450"/>
      <c r="F16" s="529"/>
      <c r="G16" s="450"/>
      <c r="H16" s="450"/>
      <c r="I16" s="471"/>
      <c r="J16" s="450"/>
      <c r="K16" s="450"/>
      <c r="L16" s="541"/>
      <c r="N16"/>
      <c r="O16"/>
      <c r="P16"/>
      <c r="Q16"/>
      <c r="R16"/>
      <c r="S16"/>
      <c r="T16"/>
    </row>
    <row r="17" spans="1:20" ht="21" customHeight="1">
      <c r="A17" s="1367"/>
      <c r="B17" s="1431"/>
      <c r="C17" s="1431"/>
      <c r="D17" s="1432"/>
      <c r="E17" s="450"/>
      <c r="F17" s="529"/>
      <c r="G17" s="450"/>
      <c r="H17" s="450"/>
      <c r="I17" s="471"/>
      <c r="J17" s="450"/>
      <c r="K17" s="450"/>
      <c r="L17" s="541"/>
      <c r="N17"/>
      <c r="O17"/>
      <c r="P17"/>
      <c r="Q17"/>
      <c r="R17"/>
      <c r="S17"/>
      <c r="T17"/>
    </row>
    <row r="18" spans="1:20" ht="21" customHeight="1">
      <c r="A18" s="397"/>
      <c r="B18" s="1431"/>
      <c r="C18" s="1431"/>
      <c r="D18" s="1432"/>
      <c r="E18" s="450"/>
      <c r="F18" s="529"/>
      <c r="G18" s="450"/>
      <c r="H18" s="450"/>
      <c r="I18" s="471"/>
      <c r="J18" s="450"/>
      <c r="K18" s="450"/>
      <c r="L18" s="541"/>
      <c r="N18"/>
      <c r="O18"/>
      <c r="P18"/>
      <c r="Q18"/>
      <c r="R18"/>
      <c r="S18"/>
      <c r="T18"/>
    </row>
    <row r="19" spans="1:20" ht="21" customHeight="1">
      <c r="B19" s="1431"/>
      <c r="C19" s="1431"/>
      <c r="D19" s="1432"/>
      <c r="E19" s="450"/>
      <c r="F19" s="529"/>
      <c r="G19" s="450"/>
      <c r="H19" s="450"/>
      <c r="I19" s="471"/>
      <c r="J19" s="450"/>
      <c r="K19" s="450"/>
      <c r="L19" s="541"/>
      <c r="N19"/>
      <c r="O19"/>
      <c r="P19"/>
      <c r="Q19"/>
      <c r="R19"/>
      <c r="S19"/>
      <c r="T19"/>
    </row>
    <row r="20" spans="1:20" ht="21" customHeight="1">
      <c r="B20" s="1431"/>
      <c r="C20" s="1431"/>
      <c r="D20" s="1432"/>
      <c r="E20" s="450"/>
      <c r="F20" s="529"/>
      <c r="G20" s="450"/>
      <c r="H20" s="450"/>
      <c r="I20" s="471"/>
      <c r="J20" s="450"/>
      <c r="K20" s="450"/>
      <c r="L20" s="541"/>
      <c r="N20"/>
      <c r="O20"/>
      <c r="P20"/>
      <c r="Q20"/>
      <c r="R20"/>
      <c r="S20"/>
      <c r="T20"/>
    </row>
    <row r="21" spans="1:20" ht="21" customHeight="1">
      <c r="B21" s="1431"/>
      <c r="C21" s="1431"/>
      <c r="D21" s="1432"/>
      <c r="E21" s="450"/>
      <c r="F21" s="529"/>
      <c r="G21" s="450"/>
      <c r="H21" s="450"/>
      <c r="I21" s="471"/>
      <c r="J21" s="450"/>
      <c r="K21" s="450"/>
      <c r="L21" s="541"/>
      <c r="N21"/>
      <c r="O21"/>
      <c r="P21"/>
      <c r="Q21"/>
      <c r="R21"/>
      <c r="S21"/>
      <c r="T21"/>
    </row>
    <row r="22" spans="1:20" ht="21" customHeight="1">
      <c r="B22" s="1431"/>
      <c r="C22" s="1431"/>
      <c r="D22" s="1432"/>
      <c r="E22" s="450"/>
      <c r="F22" s="529"/>
      <c r="G22" s="450"/>
      <c r="H22" s="450"/>
      <c r="I22" s="471"/>
      <c r="J22" s="450"/>
      <c r="K22" s="450"/>
      <c r="L22" s="541"/>
      <c r="N22"/>
      <c r="O22"/>
      <c r="P22"/>
      <c r="Q22"/>
      <c r="R22"/>
      <c r="S22"/>
      <c r="T22"/>
    </row>
    <row r="23" spans="1:20" ht="21" customHeight="1" thickBot="1">
      <c r="B23" s="401"/>
      <c r="C23" s="311"/>
      <c r="D23" s="380"/>
      <c r="E23" s="785">
        <f>SUM(E9:E22)</f>
        <v>0</v>
      </c>
      <c r="F23" s="316"/>
      <c r="G23" s="785">
        <f>SUM(G9:G22)</f>
        <v>0</v>
      </c>
      <c r="H23" s="785"/>
      <c r="I23" s="785"/>
      <c r="J23" s="785">
        <f>SUM(J9:J22)</f>
        <v>0</v>
      </c>
      <c r="K23" s="785">
        <f>SUM(K9:K22)</f>
        <v>0</v>
      </c>
      <c r="L23" s="314"/>
      <c r="N23"/>
      <c r="O23"/>
      <c r="P23"/>
      <c r="Q23"/>
      <c r="R23"/>
      <c r="S23"/>
      <c r="T23"/>
    </row>
    <row r="24" spans="1:20" ht="13.5" customHeight="1" thickTop="1">
      <c r="B24" s="856" t="s">
        <v>40</v>
      </c>
      <c r="C24" s="392"/>
      <c r="D24" s="857"/>
      <c r="J24" s="347"/>
      <c r="K24" s="347"/>
    </row>
    <row r="25" spans="1:20" ht="13.5" customHeight="1">
      <c r="B25" s="856" t="s">
        <v>549</v>
      </c>
      <c r="C25" s="392"/>
      <c r="D25" s="857"/>
    </row>
    <row r="26" spans="1:20" ht="13.5" customHeight="1">
      <c r="B26" s="856"/>
      <c r="C26" s="392" t="str">
        <f>"Utility Assessment Notes with an original date of issue of "&amp;IF('KEY INPUTS'!C42="State Fiscal Year","June 30, "&amp;'KEY INPUTS'!D33-2&amp;"","December 31, "&amp;'KEY INPUTS'!D34-2&amp;"")&amp;" or prior must be appropriated in full in the "&amp;IF('KEY INPUTS'!C42="State Fiscal Year","FY "&amp;'KEY INPUTS'!D33+1&amp;"",'KEY INPUTS'!D33+1)&amp;" Dedicated Utility Assessment Budget or written intent of"</f>
        <v>Utility Assessment Notes with an original date of issue of December 31, 2022 or prior must be appropriated in full in the 2026 Dedicated Utility Assessment Budget or written intent of</v>
      </c>
      <c r="D26" s="857"/>
    </row>
    <row r="27" spans="1:20" ht="13.5" customHeight="1">
      <c r="B27" s="856"/>
      <c r="C27" s="392"/>
      <c r="D27" s="858" t="s">
        <v>502</v>
      </c>
    </row>
    <row r="28" spans="1:20" ht="13.5" customHeight="1">
      <c r="B28" s="856"/>
      <c r="C28" s="392" t="s">
        <v>302</v>
      </c>
      <c r="D28" s="857"/>
      <c r="J28" s="385"/>
    </row>
    <row r="29" spans="1:20">
      <c r="B29" s="400"/>
      <c r="C29" s="309"/>
      <c r="D29" s="309"/>
    </row>
  </sheetData>
  <sheetProtection algorithmName="SHA-512" hashValue="0mTrA4tm1Kalg51ZITJxkMvpVicVs+A4gr1hCBQXr7VoANoAEyZb0IuFcCO9a0gbBA+QE7cdS0JWm9rIQnh5Eg==" saltValue="D82pxzVQf/LAKGepMOF2dg==" spinCount="100000" sheet="1" objects="1" scenarios="1"/>
  <mergeCells count="20">
    <mergeCell ref="A15:A17"/>
    <mergeCell ref="B2:L2"/>
    <mergeCell ref="B3:L3"/>
    <mergeCell ref="B4:D4"/>
    <mergeCell ref="J5:K6"/>
    <mergeCell ref="C6:D6"/>
    <mergeCell ref="B9:D9"/>
    <mergeCell ref="B10:D10"/>
    <mergeCell ref="B16:D16"/>
    <mergeCell ref="B17:D17"/>
    <mergeCell ref="B11:D11"/>
    <mergeCell ref="B12:D12"/>
    <mergeCell ref="B13:D13"/>
    <mergeCell ref="B14:D14"/>
    <mergeCell ref="B15:D15"/>
    <mergeCell ref="B21:D21"/>
    <mergeCell ref="B22:D22"/>
    <mergeCell ref="B18:D18"/>
    <mergeCell ref="B19:D19"/>
    <mergeCell ref="B20:D20"/>
  </mergeCells>
  <pageMargins left="0.25" right="0.25" top="0.5" bottom="0.5" header="0.25" footer="0.25"/>
  <pageSetup paperSize="5" orientation="landscape" r:id="rId1"/>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437AF-DE82-4D4E-B811-619F2F862B03}">
  <sheetPr codeName="Sheet193">
    <tabColor theme="3" tint="0.39997558519241921"/>
  </sheetPr>
  <dimension ref="A2:R27"/>
  <sheetViews>
    <sheetView zoomScaleNormal="100" zoomScaleSheetLayoutView="80" workbookViewId="0">
      <selection activeCell="H7" sqref="H7"/>
    </sheetView>
  </sheetViews>
  <sheetFormatPr defaultColWidth="9.109375" defaultRowHeight="13.2"/>
  <cols>
    <col min="1" max="1" width="5.6640625" style="267" customWidth="1"/>
    <col min="2" max="3" width="4.88671875" style="267" customWidth="1"/>
    <col min="4" max="4" width="35.88671875" style="267" customWidth="1"/>
    <col min="5" max="6" width="15.6640625" style="267" customWidth="1"/>
    <col min="7" max="9" width="30.6640625" style="267" customWidth="1"/>
    <col min="10" max="16384" width="9.109375" style="267"/>
  </cols>
  <sheetData>
    <row r="2" spans="1:18" ht="20.399999999999999">
      <c r="B2" s="1363" t="str">
        <f>"SCHEDULE  OF  CAPITAL  LEASE  PROGRAM  OBLIGATIONS "&amp;UPPER('KEY INPUTS'!D55)&amp;"  UTILITY"</f>
        <v>SCHEDULE  OF  CAPITAL  LEASE  PROGRAM  OBLIGATIONS SEWER  UTILITY</v>
      </c>
      <c r="C2" s="1363"/>
      <c r="D2" s="1363"/>
      <c r="E2" s="1363"/>
      <c r="F2" s="1363"/>
      <c r="G2" s="1363"/>
      <c r="H2" s="1363"/>
      <c r="I2" s="1363"/>
    </row>
    <row r="3" spans="1:18" ht="21" thickBot="1">
      <c r="B3" s="1363"/>
      <c r="C3" s="1363"/>
      <c r="D3" s="1363"/>
      <c r="E3" s="1363"/>
      <c r="F3" s="1363"/>
      <c r="G3" s="1363"/>
      <c r="H3" s="1363"/>
      <c r="I3" s="1363"/>
    </row>
    <row r="4" spans="1:18" ht="13.5" customHeight="1" thickTop="1">
      <c r="B4" s="1433"/>
      <c r="C4" s="1433"/>
      <c r="D4" s="1433"/>
      <c r="E4" s="1433"/>
      <c r="F4" s="1434"/>
      <c r="G4" s="859"/>
      <c r="H4" s="323"/>
      <c r="I4" s="847"/>
    </row>
    <row r="5" spans="1:18" ht="13.5" customHeight="1">
      <c r="E5" s="302"/>
      <c r="F5" s="302"/>
      <c r="G5" s="319" t="s">
        <v>414</v>
      </c>
      <c r="H5" s="1423" t="str">
        <f>IF('KEY INPUTS'!C42="State Fiscal Year","Fiscal Year "&amp;'KEY INPUTS'!D33+1&amp;"",'KEY INPUTS'!D34+1)&amp;" Budget Requirements"</f>
        <v>2025 Budget Requirements</v>
      </c>
      <c r="I5" s="1437"/>
      <c r="J5" s="592"/>
    </row>
    <row r="6" spans="1:18" ht="13.5" customHeight="1">
      <c r="C6" s="1352" t="s">
        <v>413</v>
      </c>
      <c r="D6" s="1352"/>
      <c r="E6" s="302"/>
      <c r="F6" s="302"/>
      <c r="G6" s="319" t="s">
        <v>430</v>
      </c>
      <c r="H6" s="1438"/>
      <c r="I6" s="1439"/>
      <c r="J6" s="592"/>
    </row>
    <row r="7" spans="1:18" ht="13.5" customHeight="1">
      <c r="E7" s="302"/>
      <c r="F7" s="860"/>
      <c r="G7" s="861" t="str">
        <f>IF('KEY INPUTS'!C42 = "State Fiscal Year", 'KEY INPUTS'!F47,'KEY INPUTS'!D47)</f>
        <v>Dec. 31, 2024</v>
      </c>
      <c r="H7" s="320" t="s">
        <v>3170</v>
      </c>
      <c r="I7" s="321" t="s">
        <v>431</v>
      </c>
      <c r="L7"/>
      <c r="M7"/>
      <c r="N7"/>
      <c r="O7"/>
      <c r="P7"/>
      <c r="Q7"/>
      <c r="R7"/>
    </row>
    <row r="8" spans="1:18" ht="13.5" customHeight="1" thickBot="1">
      <c r="B8" s="318"/>
      <c r="C8" s="318"/>
      <c r="D8" s="318"/>
      <c r="E8" s="318"/>
      <c r="F8" s="404"/>
      <c r="G8" s="862"/>
      <c r="H8" s="317"/>
      <c r="I8" s="863"/>
      <c r="L8"/>
      <c r="M8"/>
      <c r="N8"/>
      <c r="O8"/>
      <c r="P8"/>
      <c r="Q8"/>
      <c r="R8"/>
    </row>
    <row r="9" spans="1:18" ht="21" customHeight="1" thickTop="1">
      <c r="B9" s="1435"/>
      <c r="C9" s="1435"/>
      <c r="D9" s="1435"/>
      <c r="E9" s="1435"/>
      <c r="F9" s="1436"/>
      <c r="G9" s="607"/>
      <c r="H9" s="454"/>
      <c r="I9" s="608"/>
      <c r="L9" s="294"/>
      <c r="M9"/>
      <c r="N9"/>
      <c r="O9"/>
      <c r="P9"/>
      <c r="Q9"/>
      <c r="R9"/>
    </row>
    <row r="10" spans="1:18" ht="21" customHeight="1">
      <c r="B10" s="1431"/>
      <c r="C10" s="1431"/>
      <c r="D10" s="1431"/>
      <c r="E10" s="1431"/>
      <c r="F10" s="1432"/>
      <c r="G10" s="479"/>
      <c r="H10" s="450"/>
      <c r="I10" s="451"/>
      <c r="L10"/>
      <c r="M10"/>
      <c r="N10"/>
      <c r="O10"/>
      <c r="P10"/>
      <c r="Q10"/>
      <c r="R10"/>
    </row>
    <row r="11" spans="1:18" ht="21" customHeight="1">
      <c r="B11" s="1431"/>
      <c r="C11" s="1431"/>
      <c r="D11" s="1431"/>
      <c r="E11" s="1431"/>
      <c r="F11" s="1432"/>
      <c r="G11" s="479"/>
      <c r="H11" s="450"/>
      <c r="I11" s="451"/>
      <c r="L11"/>
      <c r="M11"/>
      <c r="N11"/>
      <c r="O11"/>
      <c r="P11"/>
      <c r="Q11"/>
      <c r="R11"/>
    </row>
    <row r="12" spans="1:18" ht="21" customHeight="1">
      <c r="B12" s="1431"/>
      <c r="C12" s="1431"/>
      <c r="D12" s="1431"/>
      <c r="E12" s="1431"/>
      <c r="F12" s="1432"/>
      <c r="G12" s="479"/>
      <c r="H12" s="450"/>
      <c r="I12" s="451"/>
      <c r="L12"/>
      <c r="M12"/>
      <c r="N12"/>
      <c r="O12"/>
      <c r="P12"/>
      <c r="Q12"/>
      <c r="R12"/>
    </row>
    <row r="13" spans="1:18" ht="21" customHeight="1">
      <c r="B13" s="1431"/>
      <c r="C13" s="1431"/>
      <c r="D13" s="1431"/>
      <c r="E13" s="1431"/>
      <c r="F13" s="1432"/>
      <c r="G13" s="479"/>
      <c r="H13" s="450"/>
      <c r="I13" s="451"/>
      <c r="L13"/>
      <c r="M13"/>
      <c r="N13"/>
      <c r="O13"/>
      <c r="P13"/>
      <c r="Q13"/>
      <c r="R13"/>
    </row>
    <row r="14" spans="1:18" ht="21" customHeight="1">
      <c r="B14" s="1431"/>
      <c r="C14" s="1431"/>
      <c r="D14" s="1431"/>
      <c r="E14" s="1431"/>
      <c r="F14" s="1432"/>
      <c r="G14" s="480"/>
      <c r="H14" s="450"/>
      <c r="I14" s="451"/>
      <c r="L14"/>
      <c r="M14"/>
      <c r="N14"/>
      <c r="O14"/>
      <c r="P14"/>
      <c r="Q14"/>
      <c r="R14"/>
    </row>
    <row r="15" spans="1:18" ht="21" customHeight="1">
      <c r="A15" s="1367" t="s">
        <v>3169</v>
      </c>
      <c r="B15" s="1431"/>
      <c r="C15" s="1431"/>
      <c r="D15" s="1431"/>
      <c r="E15" s="1431"/>
      <c r="F15" s="1432"/>
      <c r="G15" s="479"/>
      <c r="H15" s="450"/>
      <c r="I15" s="451"/>
      <c r="L15"/>
      <c r="M15"/>
      <c r="N15"/>
      <c r="O15"/>
      <c r="P15"/>
      <c r="Q15"/>
      <c r="R15"/>
    </row>
    <row r="16" spans="1:18" ht="21" customHeight="1">
      <c r="A16" s="1367"/>
      <c r="B16" s="1431"/>
      <c r="C16" s="1431"/>
      <c r="D16" s="1431"/>
      <c r="E16" s="1431"/>
      <c r="F16" s="1432"/>
      <c r="G16" s="479"/>
      <c r="H16" s="450"/>
      <c r="I16" s="451"/>
      <c r="L16"/>
      <c r="M16"/>
      <c r="N16"/>
      <c r="O16"/>
      <c r="P16"/>
      <c r="Q16"/>
      <c r="R16"/>
    </row>
    <row r="17" spans="1:18" ht="21" customHeight="1">
      <c r="A17" s="1367"/>
      <c r="B17" s="1431"/>
      <c r="C17" s="1431"/>
      <c r="D17" s="1431"/>
      <c r="E17" s="1431"/>
      <c r="F17" s="1432"/>
      <c r="G17" s="479"/>
      <c r="H17" s="450"/>
      <c r="I17" s="451"/>
      <c r="L17"/>
      <c r="M17"/>
      <c r="N17"/>
      <c r="O17"/>
      <c r="P17"/>
      <c r="Q17"/>
      <c r="R17"/>
    </row>
    <row r="18" spans="1:18" ht="21" customHeight="1">
      <c r="A18" s="397"/>
      <c r="B18" s="1431"/>
      <c r="C18" s="1431"/>
      <c r="D18" s="1431"/>
      <c r="E18" s="1431"/>
      <c r="F18" s="1432"/>
      <c r="G18" s="479"/>
      <c r="H18" s="450"/>
      <c r="I18" s="451"/>
      <c r="L18"/>
      <c r="M18"/>
      <c r="N18"/>
      <c r="O18"/>
      <c r="P18"/>
      <c r="Q18"/>
      <c r="R18"/>
    </row>
    <row r="19" spans="1:18" ht="21" customHeight="1">
      <c r="B19" s="1431"/>
      <c r="C19" s="1431"/>
      <c r="D19" s="1431"/>
      <c r="E19" s="1431"/>
      <c r="F19" s="1432"/>
      <c r="G19" s="479"/>
      <c r="H19" s="450"/>
      <c r="I19" s="451"/>
      <c r="L19"/>
      <c r="M19"/>
      <c r="N19"/>
      <c r="O19"/>
      <c r="P19"/>
      <c r="Q19"/>
      <c r="R19"/>
    </row>
    <row r="20" spans="1:18" ht="21" customHeight="1">
      <c r="B20" s="1431"/>
      <c r="C20" s="1431"/>
      <c r="D20" s="1431"/>
      <c r="E20" s="1431"/>
      <c r="F20" s="1432"/>
      <c r="G20" s="479"/>
      <c r="H20" s="450"/>
      <c r="I20" s="451"/>
      <c r="L20"/>
      <c r="M20"/>
      <c r="N20"/>
      <c r="O20"/>
      <c r="P20"/>
      <c r="Q20"/>
      <c r="R20"/>
    </row>
    <row r="21" spans="1:18" ht="21" customHeight="1">
      <c r="B21" s="1431"/>
      <c r="C21" s="1431"/>
      <c r="D21" s="1431"/>
      <c r="E21" s="1431"/>
      <c r="F21" s="1432"/>
      <c r="G21" s="479"/>
      <c r="H21" s="450"/>
      <c r="I21" s="451"/>
      <c r="L21"/>
      <c r="M21"/>
      <c r="N21"/>
      <c r="O21"/>
      <c r="P21"/>
      <c r="Q21"/>
      <c r="R21"/>
    </row>
    <row r="22" spans="1:18" ht="21" customHeight="1" thickBot="1">
      <c r="B22" s="1431"/>
      <c r="C22" s="1431"/>
      <c r="D22" s="1431"/>
      <c r="E22" s="1431"/>
      <c r="F22" s="1432"/>
      <c r="G22" s="481"/>
      <c r="H22" s="475"/>
      <c r="I22" s="482"/>
      <c r="L22"/>
      <c r="M22"/>
      <c r="N22"/>
      <c r="O22"/>
      <c r="P22"/>
      <c r="Q22"/>
      <c r="R22"/>
    </row>
    <row r="23" spans="1:18" ht="21" customHeight="1" thickTop="1" thickBot="1">
      <c r="B23" s="401"/>
      <c r="C23" s="311"/>
      <c r="D23" s="405" t="s">
        <v>137</v>
      </c>
      <c r="E23" s="746"/>
      <c r="F23" s="404"/>
      <c r="G23" s="911">
        <f>SUM(G9:G22)</f>
        <v>0</v>
      </c>
      <c r="H23" s="755">
        <f>SUM(H9:H22)</f>
        <v>0</v>
      </c>
      <c r="I23" s="797">
        <f>SUM(I9:I22)</f>
        <v>0</v>
      </c>
      <c r="L23"/>
      <c r="M23"/>
      <c r="N23"/>
      <c r="O23"/>
      <c r="P23"/>
      <c r="Q23"/>
      <c r="R23"/>
    </row>
    <row r="24" spans="1:18" ht="13.5" customHeight="1" thickTop="1">
      <c r="B24" s="403"/>
      <c r="C24" s="309"/>
      <c r="D24" s="393"/>
      <c r="H24" s="347"/>
      <c r="I24" s="347"/>
    </row>
    <row r="25" spans="1:18" ht="13.5" customHeight="1">
      <c r="B25" s="403"/>
      <c r="C25" s="309"/>
      <c r="D25" s="393"/>
    </row>
    <row r="26" spans="1:18" ht="13.5" customHeight="1">
      <c r="B26" s="403"/>
      <c r="C26" s="309"/>
      <c r="D26" s="393"/>
      <c r="H26" s="385"/>
    </row>
    <row r="27" spans="1:18">
      <c r="B27" s="400"/>
      <c r="C27" s="309"/>
      <c r="D27" s="309"/>
    </row>
  </sheetData>
  <sheetProtection algorithmName="SHA-512" hashValue="8IcS4jwBUBLT21UUeKsYB8We3coJARz9OPMBb2di4AhzfNvNfhrT08+u/0o+Kv8+3tGo/sIH2M75q1S5rbOZKQ==" saltValue="MLiUxY1dq3R9WJaEh9rXVg==" spinCount="100000" sheet="1" objects="1" scenarios="1"/>
  <mergeCells count="20">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s>
  <pageMargins left="0.25" right="0.25" top="0.5" bottom="0.5" header="0.25" footer="0.25"/>
  <pageSetup paperSize="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
    <tabColor rgb="FF92D050"/>
  </sheetPr>
  <dimension ref="B1:P87"/>
  <sheetViews>
    <sheetView workbookViewId="0">
      <selection activeCell="B14" sqref="B14"/>
    </sheetView>
  </sheetViews>
  <sheetFormatPr defaultRowHeight="13.2"/>
  <cols>
    <col min="1" max="2" width="4.6640625" customWidth="1"/>
    <col min="3" max="3" width="4.5546875" customWidth="1"/>
    <col min="4" max="4" width="4.6640625" customWidth="1"/>
  </cols>
  <sheetData>
    <row r="1" spans="2:13" ht="6" customHeight="1"/>
    <row r="2" spans="2:13" ht="18" customHeight="1">
      <c r="B2" s="1131" t="s">
        <v>835</v>
      </c>
      <c r="C2" s="1131"/>
      <c r="D2" s="1131"/>
      <c r="E2" s="1131"/>
      <c r="F2" s="1131"/>
      <c r="G2" s="1131"/>
      <c r="H2" s="1131"/>
      <c r="I2" s="1131"/>
      <c r="J2" s="1131"/>
      <c r="K2" s="1131"/>
      <c r="L2" s="1131"/>
      <c r="M2" s="1131"/>
    </row>
    <row r="3" spans="2:13" ht="18" customHeight="1">
      <c r="B3" s="1131" t="str">
        <f>"ANNUAL  FINANCIAL  STATEMENT  OF   "&amp;TEXT('KEY INPUTS'!D34,"0")</f>
        <v>ANNUAL  FINANCIAL  STATEMENT  OF   2024</v>
      </c>
      <c r="C3" s="1131"/>
      <c r="D3" s="1131"/>
      <c r="E3" s="1131"/>
      <c r="F3" s="1131"/>
      <c r="G3" s="1131"/>
      <c r="H3" s="1131"/>
      <c r="I3" s="1131"/>
      <c r="J3" s="1131"/>
      <c r="K3" s="1131"/>
      <c r="L3" s="1131"/>
      <c r="M3" s="1131"/>
    </row>
    <row r="5" spans="2:13" ht="11.25" customHeight="1">
      <c r="B5" s="96"/>
      <c r="C5" s="96" t="s">
        <v>503</v>
      </c>
    </row>
    <row r="6" spans="2:13" ht="11.25" customHeight="1">
      <c r="B6" s="96" t="s">
        <v>836</v>
      </c>
      <c r="C6" s="96"/>
    </row>
    <row r="7" spans="2:13" ht="11.25" customHeight="1">
      <c r="B7" s="96" t="s">
        <v>837</v>
      </c>
      <c r="C7" s="96"/>
    </row>
    <row r="8" spans="2:13" ht="6" customHeight="1"/>
    <row r="9" spans="2:13" ht="11.25" customHeight="1">
      <c r="B9" s="96"/>
      <c r="C9" s="96" t="s">
        <v>838</v>
      </c>
    </row>
    <row r="10" spans="2:13" ht="11.25" customHeight="1">
      <c r="B10" s="96" t="s">
        <v>839</v>
      </c>
      <c r="C10" s="96"/>
    </row>
    <row r="11" spans="2:13" ht="11.25" customHeight="1">
      <c r="B11" s="96" t="s">
        <v>840</v>
      </c>
      <c r="C11" s="96"/>
    </row>
    <row r="12" spans="2:13" ht="6" customHeight="1"/>
    <row r="13" spans="2:13" ht="11.25" customHeight="1">
      <c r="B13" s="96"/>
      <c r="C13" s="96" t="s">
        <v>710</v>
      </c>
    </row>
    <row r="14" spans="2:13" ht="11.25" customHeight="1">
      <c r="B14" s="96" t="s">
        <v>711</v>
      </c>
      <c r="C14" s="96"/>
    </row>
    <row r="15" spans="2:13" ht="8.25" customHeight="1"/>
    <row r="16" spans="2:13" ht="8.25" customHeight="1"/>
    <row r="17" spans="2:16" ht="13.5" customHeight="1">
      <c r="B17" s="1132" t="s">
        <v>712</v>
      </c>
      <c r="C17" s="1132"/>
      <c r="D17" s="1132"/>
      <c r="E17" s="1132"/>
      <c r="F17" s="1132"/>
      <c r="G17" s="1132"/>
      <c r="H17" s="1132"/>
      <c r="I17" s="1132"/>
      <c r="J17" s="1132"/>
      <c r="K17" s="1132"/>
      <c r="L17" s="1132"/>
      <c r="M17" s="1132"/>
    </row>
    <row r="18" spans="2:16" ht="4.5" customHeight="1"/>
    <row r="19" spans="2:16" ht="10.5" customHeight="1">
      <c r="B19" s="179" t="s">
        <v>713</v>
      </c>
      <c r="C19" s="179"/>
      <c r="D19" s="96" t="s">
        <v>714</v>
      </c>
    </row>
    <row r="20" spans="2:16" ht="10.5" customHeight="1">
      <c r="B20" s="179" t="s">
        <v>716</v>
      </c>
      <c r="C20" s="179"/>
      <c r="D20" s="96" t="s">
        <v>504</v>
      </c>
    </row>
    <row r="21" spans="2:16" ht="10.5" customHeight="1">
      <c r="B21" s="179" t="s">
        <v>715</v>
      </c>
      <c r="C21" s="179"/>
      <c r="D21" s="96" t="s">
        <v>505</v>
      </c>
    </row>
    <row r="22" spans="2:16" ht="10.5" customHeight="1">
      <c r="B22" s="179" t="s">
        <v>293</v>
      </c>
      <c r="C22" s="179"/>
      <c r="D22" s="96" t="s">
        <v>506</v>
      </c>
    </row>
    <row r="23" spans="2:16" ht="10.5" customHeight="1">
      <c r="B23" s="179" t="s">
        <v>3187</v>
      </c>
      <c r="C23" s="179"/>
      <c r="D23" s="96" t="s">
        <v>507</v>
      </c>
    </row>
    <row r="24" spans="2:16" ht="10.5" customHeight="1">
      <c r="B24" s="179" t="s">
        <v>295</v>
      </c>
      <c r="C24" s="179"/>
      <c r="D24" s="96" t="s">
        <v>508</v>
      </c>
      <c r="P24" s="239"/>
    </row>
    <row r="25" spans="2:16" ht="10.5" customHeight="1">
      <c r="B25" s="179" t="s">
        <v>296</v>
      </c>
      <c r="C25" s="179"/>
      <c r="D25" s="96" t="s">
        <v>509</v>
      </c>
    </row>
    <row r="26" spans="2:16" ht="10.5" customHeight="1">
      <c r="B26" s="179" t="s">
        <v>63</v>
      </c>
      <c r="C26" s="179"/>
      <c r="D26" s="96" t="s">
        <v>65</v>
      </c>
    </row>
    <row r="27" spans="2:16" ht="10.5" customHeight="1">
      <c r="B27" s="179" t="s">
        <v>717</v>
      </c>
      <c r="C27" s="179"/>
      <c r="D27" s="96" t="s">
        <v>484</v>
      </c>
    </row>
    <row r="28" spans="2:16" ht="10.5" customHeight="1">
      <c r="B28" s="179" t="s">
        <v>298</v>
      </c>
      <c r="C28" s="179"/>
      <c r="D28" s="96" t="s">
        <v>189</v>
      </c>
    </row>
    <row r="29" spans="2:16" ht="10.5" customHeight="1">
      <c r="B29" s="179" t="s">
        <v>384</v>
      </c>
      <c r="C29" s="179"/>
      <c r="D29" s="96" t="s">
        <v>107</v>
      </c>
    </row>
    <row r="30" spans="2:16" ht="10.5" customHeight="1">
      <c r="B30" s="179" t="s">
        <v>718</v>
      </c>
      <c r="C30" s="179"/>
      <c r="D30" s="96" t="s">
        <v>108</v>
      </c>
    </row>
    <row r="31" spans="2:16" ht="10.5" customHeight="1">
      <c r="B31" s="179" t="s">
        <v>386</v>
      </c>
      <c r="C31" s="179"/>
      <c r="D31" s="96" t="s">
        <v>467</v>
      </c>
    </row>
    <row r="32" spans="2:16" ht="10.5" customHeight="1">
      <c r="B32" s="179" t="s">
        <v>719</v>
      </c>
      <c r="C32" s="179"/>
      <c r="D32" s="96" t="s">
        <v>468</v>
      </c>
    </row>
    <row r="33" spans="2:4" ht="10.5" customHeight="1">
      <c r="B33" s="179" t="s">
        <v>225</v>
      </c>
      <c r="C33" s="179"/>
      <c r="D33" s="96" t="s">
        <v>469</v>
      </c>
    </row>
    <row r="34" spans="2:4" ht="10.5" customHeight="1">
      <c r="B34" s="179" t="s">
        <v>226</v>
      </c>
      <c r="C34" s="179"/>
      <c r="D34" s="96" t="s">
        <v>447</v>
      </c>
    </row>
    <row r="35" spans="2:4" ht="10.5" customHeight="1">
      <c r="B35" s="179" t="s">
        <v>564</v>
      </c>
      <c r="C35" s="179"/>
      <c r="D35" s="96" t="s">
        <v>470</v>
      </c>
    </row>
    <row r="36" spans="2:4" ht="10.5" customHeight="1">
      <c r="B36" s="179" t="s">
        <v>493</v>
      </c>
      <c r="C36" s="179"/>
      <c r="D36" s="96" t="s">
        <v>471</v>
      </c>
    </row>
    <row r="37" spans="2:4" ht="10.5" customHeight="1">
      <c r="B37" s="179" t="s">
        <v>387</v>
      </c>
      <c r="C37" s="179"/>
      <c r="D37" s="96" t="s">
        <v>472</v>
      </c>
    </row>
    <row r="38" spans="2:4" ht="10.5" customHeight="1">
      <c r="B38" s="179" t="s">
        <v>497</v>
      </c>
      <c r="C38" s="179"/>
      <c r="D38" s="96" t="s">
        <v>473</v>
      </c>
    </row>
    <row r="39" spans="2:4" ht="10.5" customHeight="1">
      <c r="B39" s="179" t="s">
        <v>857</v>
      </c>
      <c r="C39" s="179"/>
      <c r="D39" s="96" t="s">
        <v>474</v>
      </c>
    </row>
    <row r="40" spans="2:4" ht="10.5" customHeight="1">
      <c r="B40" s="179" t="s">
        <v>857</v>
      </c>
      <c r="C40" s="179"/>
      <c r="D40" s="96" t="s">
        <v>475</v>
      </c>
    </row>
    <row r="41" spans="2:4" ht="10.5" customHeight="1">
      <c r="B41" s="179" t="s">
        <v>858</v>
      </c>
      <c r="C41" s="179"/>
      <c r="D41" s="96" t="str">
        <f>"Results of "&amp;TEXT('KEY INPUTS'!D34,"0")&amp;" Operation-Current Fund"</f>
        <v>Results of 2024 Operation-Current Fund</v>
      </c>
    </row>
    <row r="42" spans="2:4" ht="10.5" customHeight="1">
      <c r="B42" s="179" t="s">
        <v>861</v>
      </c>
      <c r="C42" s="179"/>
      <c r="D42" s="96" t="s">
        <v>476</v>
      </c>
    </row>
    <row r="43" spans="2:4" ht="10.5" customHeight="1">
      <c r="B43" s="179" t="s">
        <v>862</v>
      </c>
      <c r="C43" s="179"/>
      <c r="D43" s="96" t="s">
        <v>477</v>
      </c>
    </row>
    <row r="44" spans="2:4" ht="10.5" customHeight="1">
      <c r="B44" s="179" t="s">
        <v>863</v>
      </c>
      <c r="C44" s="179"/>
      <c r="D44" s="96" t="s">
        <v>562</v>
      </c>
    </row>
    <row r="45" spans="2:4" ht="10.5" customHeight="1">
      <c r="B45" s="179" t="s">
        <v>388</v>
      </c>
      <c r="C45" s="179"/>
      <c r="D45" s="96" t="str">
        <f>"Accelerated Tax Sale/Tax Levy Sale Chapter 99 To Calculate Underlying Tax Collection Rate for "&amp;TEXT('KEY INPUTS'!D34,"0")</f>
        <v>Accelerated Tax Sale/Tax Levy Sale Chapter 99 To Calculate Underlying Tax Collection Rate for 2024</v>
      </c>
    </row>
    <row r="46" spans="2:4" ht="10.5" customHeight="1">
      <c r="B46" s="179" t="s">
        <v>864</v>
      </c>
      <c r="C46" s="179"/>
      <c r="D46" s="96" t="s">
        <v>563</v>
      </c>
    </row>
    <row r="47" spans="2:4" ht="10.5" customHeight="1">
      <c r="B47" s="179" t="s">
        <v>865</v>
      </c>
      <c r="C47" s="179"/>
      <c r="D47" s="96" t="s">
        <v>164</v>
      </c>
    </row>
    <row r="48" spans="2:4" ht="10.5" customHeight="1">
      <c r="B48" s="179" t="s">
        <v>389</v>
      </c>
      <c r="C48" s="179"/>
      <c r="D48" s="96" t="s">
        <v>182</v>
      </c>
    </row>
    <row r="49" spans="2:10" ht="10.5" customHeight="1">
      <c r="B49" s="179" t="s">
        <v>390</v>
      </c>
      <c r="C49" s="179"/>
      <c r="D49" s="96" t="s">
        <v>183</v>
      </c>
    </row>
    <row r="50" spans="2:10" ht="10.5" customHeight="1">
      <c r="B50" s="179"/>
      <c r="C50" s="179"/>
      <c r="D50" s="96" t="s">
        <v>184</v>
      </c>
    </row>
    <row r="51" spans="2:10" ht="10.5" customHeight="1">
      <c r="B51" s="179" t="s">
        <v>391</v>
      </c>
      <c r="C51" s="179"/>
      <c r="D51" s="96" t="s">
        <v>185</v>
      </c>
    </row>
    <row r="52" spans="2:10" ht="10.5" customHeight="1">
      <c r="B52" s="179" t="s">
        <v>392</v>
      </c>
      <c r="C52" s="179"/>
      <c r="D52" s="96" t="s">
        <v>186</v>
      </c>
    </row>
    <row r="53" spans="2:10" ht="10.5" customHeight="1">
      <c r="B53" s="179" t="s">
        <v>393</v>
      </c>
      <c r="C53" s="179"/>
      <c r="D53" s="96" t="s">
        <v>187</v>
      </c>
      <c r="E53" s="96"/>
      <c r="F53" s="96"/>
      <c r="G53" s="96"/>
      <c r="H53" s="96"/>
      <c r="I53" s="96"/>
      <c r="J53" s="96"/>
    </row>
    <row r="54" spans="2:10" ht="10.5" customHeight="1">
      <c r="B54" s="179" t="s">
        <v>394</v>
      </c>
      <c r="C54" s="179"/>
      <c r="D54" s="96" t="s">
        <v>188</v>
      </c>
      <c r="E54" s="96"/>
      <c r="F54" s="96"/>
      <c r="G54" s="96"/>
      <c r="H54" s="96"/>
      <c r="I54" s="96"/>
      <c r="J54" s="96"/>
    </row>
    <row r="55" spans="2:10" ht="10.5" customHeight="1">
      <c r="B55" s="179"/>
      <c r="C55" s="179"/>
      <c r="D55" s="96" t="s">
        <v>578</v>
      </c>
      <c r="E55" s="96"/>
      <c r="F55" s="96"/>
      <c r="G55" s="96"/>
      <c r="H55" s="96"/>
      <c r="I55" s="96"/>
      <c r="J55" s="96"/>
    </row>
    <row r="56" spans="2:10" ht="10.5" customHeight="1">
      <c r="B56" s="179"/>
      <c r="C56" s="179"/>
      <c r="D56" s="96" t="s">
        <v>708</v>
      </c>
      <c r="E56" s="96"/>
      <c r="F56" s="96"/>
      <c r="G56" s="96"/>
      <c r="H56" s="96"/>
      <c r="I56" s="96"/>
      <c r="J56" s="96"/>
    </row>
    <row r="57" spans="2:10" ht="10.5" customHeight="1">
      <c r="B57" s="179" t="s">
        <v>395</v>
      </c>
      <c r="C57" s="179"/>
      <c r="D57" s="96" t="s">
        <v>403</v>
      </c>
      <c r="E57" s="96"/>
      <c r="F57" s="96"/>
      <c r="G57" s="96"/>
      <c r="H57" s="96"/>
      <c r="I57" s="96"/>
      <c r="J57" s="96"/>
    </row>
    <row r="58" spans="2:10" ht="10.5" customHeight="1">
      <c r="B58" s="179" t="s">
        <v>666</v>
      </c>
      <c r="C58" s="179"/>
      <c r="D58" s="96" t="s">
        <v>573</v>
      </c>
      <c r="E58" s="96"/>
      <c r="F58" s="96"/>
      <c r="G58" s="96"/>
      <c r="H58" s="96"/>
      <c r="I58" s="96"/>
      <c r="J58" s="96"/>
    </row>
    <row r="59" spans="2:10" ht="10.5" customHeight="1">
      <c r="B59" s="179" t="s">
        <v>396</v>
      </c>
      <c r="C59" s="179"/>
      <c r="D59" s="96" t="s">
        <v>574</v>
      </c>
      <c r="E59" s="96"/>
      <c r="F59" s="96"/>
      <c r="G59" s="96"/>
      <c r="H59" s="96"/>
      <c r="I59" s="96"/>
      <c r="J59" s="96"/>
    </row>
    <row r="60" spans="2:10" ht="10.5" customHeight="1">
      <c r="B60" s="179" t="s">
        <v>397</v>
      </c>
      <c r="C60" s="179"/>
      <c r="D60" s="96" t="s">
        <v>575</v>
      </c>
      <c r="E60" s="96"/>
      <c r="F60" s="96"/>
      <c r="G60" s="96"/>
      <c r="H60" s="96"/>
      <c r="I60" s="96"/>
      <c r="J60" s="96"/>
    </row>
    <row r="61" spans="2:10" ht="10.5" customHeight="1">
      <c r="B61" s="179" t="s">
        <v>66</v>
      </c>
      <c r="C61" s="179"/>
      <c r="D61" s="96" t="s">
        <v>67</v>
      </c>
      <c r="E61" s="96"/>
      <c r="F61" s="96"/>
      <c r="G61" s="96"/>
      <c r="H61" s="96"/>
      <c r="I61" s="96"/>
      <c r="J61" s="96"/>
    </row>
    <row r="62" spans="2:10" ht="10.5" customHeight="1">
      <c r="B62" s="179" t="s">
        <v>398</v>
      </c>
      <c r="C62" s="179"/>
      <c r="D62" s="96" t="s">
        <v>576</v>
      </c>
      <c r="E62" s="96"/>
      <c r="F62" s="96"/>
      <c r="G62" s="96"/>
      <c r="H62" s="96"/>
      <c r="I62" s="96"/>
      <c r="J62" s="96"/>
    </row>
    <row r="63" spans="2:10" ht="10.5" customHeight="1">
      <c r="B63" s="179" t="s">
        <v>399</v>
      </c>
      <c r="C63" s="179"/>
      <c r="D63" s="96" t="s">
        <v>577</v>
      </c>
      <c r="E63" s="96"/>
      <c r="F63" s="96"/>
      <c r="G63" s="96"/>
      <c r="H63" s="96"/>
      <c r="I63" s="96"/>
      <c r="J63" s="96"/>
    </row>
    <row r="64" spans="2:10" ht="10.5" customHeight="1">
      <c r="B64" s="179" t="s">
        <v>400</v>
      </c>
      <c r="C64" s="179"/>
      <c r="D64" s="96" t="s">
        <v>204</v>
      </c>
      <c r="E64" s="96"/>
      <c r="F64" s="96"/>
      <c r="G64" s="96"/>
      <c r="H64" s="96"/>
      <c r="I64" s="96"/>
      <c r="J64" s="96"/>
    </row>
    <row r="65" spans="2:13" ht="10.5" customHeight="1">
      <c r="B65" s="179" t="s">
        <v>400</v>
      </c>
      <c r="C65" s="179"/>
      <c r="D65" s="96" t="str">
        <f>"Capital Improvements Authorized in  "&amp;TEXT('KEY INPUTS'!D34,"0")</f>
        <v>Capital Improvements Authorized in  2024</v>
      </c>
      <c r="E65" s="96"/>
      <c r="F65" s="96"/>
      <c r="G65" s="96"/>
      <c r="H65" s="96"/>
      <c r="I65" s="96"/>
      <c r="J65" s="96"/>
    </row>
    <row r="66" spans="2:13" ht="10.5" customHeight="1">
      <c r="B66" s="179" t="s">
        <v>401</v>
      </c>
      <c r="C66" s="179"/>
      <c r="D66" s="96" t="s">
        <v>579</v>
      </c>
      <c r="E66" s="96"/>
      <c r="F66" s="96"/>
      <c r="G66" s="96"/>
      <c r="H66" s="96"/>
      <c r="I66" s="96"/>
      <c r="J66" s="96"/>
    </row>
    <row r="67" spans="2:13" ht="10.5" customHeight="1">
      <c r="B67" s="179" t="s">
        <v>402</v>
      </c>
      <c r="C67" s="179"/>
      <c r="D67" s="96" t="s">
        <v>580</v>
      </c>
      <c r="E67" s="96"/>
      <c r="F67" s="96"/>
      <c r="G67" s="96"/>
      <c r="H67" s="96"/>
      <c r="I67" s="96"/>
      <c r="J67" s="96"/>
    </row>
    <row r="68" spans="2:13">
      <c r="B68" s="179"/>
      <c r="C68" s="179"/>
    </row>
    <row r="69" spans="2:13">
      <c r="B69" s="1133" t="s">
        <v>31</v>
      </c>
      <c r="C69" s="1133"/>
      <c r="D69" s="1133"/>
      <c r="E69" s="1133"/>
      <c r="F69" s="1133"/>
      <c r="G69" s="1133"/>
      <c r="H69" s="1133"/>
      <c r="I69" s="1133"/>
      <c r="J69" s="1133"/>
      <c r="K69" s="1133"/>
      <c r="L69" s="1133"/>
      <c r="M69" s="1133"/>
    </row>
    <row r="70" spans="2:13" ht="10.5" customHeight="1">
      <c r="B70" s="151" t="s">
        <v>404</v>
      </c>
      <c r="C70" s="151"/>
      <c r="D70" s="151" t="s">
        <v>30</v>
      </c>
      <c r="E70" s="179"/>
      <c r="F70" s="181"/>
      <c r="G70" s="181"/>
      <c r="H70" s="181"/>
      <c r="I70" s="181"/>
      <c r="J70" s="181"/>
      <c r="K70" s="181"/>
      <c r="L70" s="181"/>
      <c r="M70" s="181"/>
    </row>
    <row r="71" spans="2:13" ht="10.5" customHeight="1">
      <c r="B71" s="151" t="s">
        <v>406</v>
      </c>
      <c r="C71" s="151"/>
      <c r="D71" s="151" t="s">
        <v>581</v>
      </c>
      <c r="E71" s="179"/>
      <c r="F71" s="181"/>
      <c r="G71" s="181"/>
      <c r="H71" s="181"/>
      <c r="I71" s="181"/>
      <c r="J71" s="181"/>
      <c r="K71" s="181"/>
      <c r="L71" s="181"/>
      <c r="M71" s="181"/>
    </row>
    <row r="72" spans="2:13" ht="10.5" customHeight="1">
      <c r="B72" s="151" t="s">
        <v>407</v>
      </c>
      <c r="C72" s="151"/>
      <c r="D72" s="151" t="s">
        <v>582</v>
      </c>
      <c r="E72" s="179"/>
      <c r="F72" s="181"/>
      <c r="G72" s="181"/>
      <c r="H72" s="181"/>
      <c r="I72" s="181"/>
      <c r="J72" s="181"/>
      <c r="K72" s="181"/>
      <c r="L72" s="181"/>
      <c r="M72" s="181"/>
    </row>
    <row r="73" spans="2:13" ht="10.5" customHeight="1">
      <c r="B73" s="151" t="s">
        <v>408</v>
      </c>
      <c r="C73" s="151"/>
      <c r="D73" s="151" t="s">
        <v>583</v>
      </c>
      <c r="E73" s="179"/>
      <c r="F73" s="181"/>
      <c r="G73" s="181"/>
      <c r="H73" s="181"/>
      <c r="I73" s="181"/>
      <c r="J73" s="181"/>
      <c r="K73" s="181"/>
      <c r="L73" s="181"/>
      <c r="M73" s="181"/>
    </row>
    <row r="74" spans="2:13" ht="10.5" customHeight="1">
      <c r="B74" s="151" t="s">
        <v>410</v>
      </c>
      <c r="C74" s="151"/>
      <c r="D74" s="151" t="s">
        <v>584</v>
      </c>
      <c r="E74" s="179"/>
      <c r="F74" s="181"/>
      <c r="G74" s="181"/>
      <c r="H74" s="181"/>
      <c r="I74" s="181"/>
      <c r="J74" s="181"/>
      <c r="K74" s="181"/>
      <c r="L74" s="181"/>
      <c r="M74" s="181"/>
    </row>
    <row r="75" spans="2:13" ht="10.5" customHeight="1">
      <c r="B75" s="151" t="s">
        <v>409</v>
      </c>
      <c r="C75" s="151"/>
      <c r="D75" s="180" t="str">
        <f>TEXT('KEY INPUTS'!D34,"0")&amp;" Utility Operations"</f>
        <v>2024 Utility Operations</v>
      </c>
      <c r="E75" s="179"/>
      <c r="F75" s="181"/>
      <c r="G75" s="181"/>
      <c r="H75" s="181"/>
      <c r="I75" s="181"/>
      <c r="J75" s="181"/>
      <c r="K75" s="181"/>
      <c r="L75" s="181"/>
      <c r="M75" s="181"/>
    </row>
    <row r="76" spans="2:13" ht="10.5" customHeight="1">
      <c r="B76" s="151" t="s">
        <v>411</v>
      </c>
      <c r="C76" s="151"/>
      <c r="D76" s="151" t="s">
        <v>49</v>
      </c>
      <c r="E76" s="179"/>
      <c r="F76" s="181"/>
      <c r="G76" s="181"/>
      <c r="H76" s="181"/>
      <c r="I76" s="181"/>
      <c r="J76" s="181"/>
      <c r="K76" s="181"/>
      <c r="L76" s="181"/>
      <c r="M76" s="181"/>
    </row>
    <row r="77" spans="2:13" ht="10.5" customHeight="1">
      <c r="B77" s="151" t="s">
        <v>412</v>
      </c>
      <c r="C77" s="151"/>
      <c r="D77" s="151" t="s">
        <v>50</v>
      </c>
      <c r="E77" s="179"/>
      <c r="F77" s="181"/>
      <c r="G77" s="181"/>
      <c r="H77" s="181"/>
      <c r="I77" s="181"/>
      <c r="J77" s="181"/>
      <c r="K77" s="181"/>
      <c r="L77" s="181"/>
      <c r="M77" s="181"/>
    </row>
    <row r="78" spans="2:13" ht="10.5" customHeight="1">
      <c r="B78" s="151" t="s">
        <v>23</v>
      </c>
      <c r="C78" s="151"/>
      <c r="D78" s="151" t="s">
        <v>51</v>
      </c>
      <c r="E78" s="179"/>
      <c r="F78" s="181"/>
      <c r="G78" s="181"/>
      <c r="H78" s="181"/>
      <c r="I78" s="181"/>
      <c r="J78" s="181"/>
      <c r="K78" s="181"/>
      <c r="L78" s="181"/>
      <c r="M78" s="181"/>
    </row>
    <row r="79" spans="2:13" ht="10.5" customHeight="1">
      <c r="B79" s="151" t="s">
        <v>24</v>
      </c>
      <c r="C79" s="151"/>
      <c r="D79" s="151" t="s">
        <v>52</v>
      </c>
      <c r="E79" s="179"/>
      <c r="F79" s="181"/>
      <c r="G79" s="181"/>
      <c r="H79" s="181"/>
      <c r="I79" s="181"/>
      <c r="J79" s="181"/>
      <c r="K79" s="181"/>
      <c r="L79" s="181"/>
      <c r="M79" s="181"/>
    </row>
    <row r="80" spans="2:13" ht="10.5" customHeight="1">
      <c r="B80" s="151" t="s">
        <v>667</v>
      </c>
      <c r="C80" s="151"/>
      <c r="D80" s="151" t="s">
        <v>668</v>
      </c>
      <c r="E80" s="179"/>
      <c r="F80" s="181"/>
      <c r="G80" s="181"/>
      <c r="H80" s="181"/>
      <c r="I80" s="181"/>
      <c r="J80" s="181"/>
      <c r="K80" s="181"/>
      <c r="L80" s="181"/>
      <c r="M80" s="181"/>
    </row>
    <row r="81" spans="2:13" ht="10.5" customHeight="1">
      <c r="B81" s="151" t="s">
        <v>25</v>
      </c>
      <c r="C81" s="151"/>
      <c r="D81" s="151" t="s">
        <v>585</v>
      </c>
      <c r="E81" s="179"/>
      <c r="F81" s="181"/>
      <c r="G81" s="181"/>
      <c r="H81" s="181"/>
      <c r="I81" s="181"/>
      <c r="J81" s="181"/>
      <c r="K81" s="181"/>
      <c r="L81" s="181"/>
      <c r="M81" s="181"/>
    </row>
    <row r="82" spans="2:13" ht="10.5" customHeight="1">
      <c r="B82" s="151" t="s">
        <v>26</v>
      </c>
      <c r="C82" s="151"/>
      <c r="D82" s="151" t="s">
        <v>586</v>
      </c>
      <c r="E82" s="179"/>
      <c r="F82" s="181"/>
      <c r="G82" s="181"/>
      <c r="H82" s="181"/>
      <c r="I82" s="181"/>
      <c r="J82" s="181"/>
      <c r="K82" s="181"/>
      <c r="L82" s="181"/>
      <c r="M82" s="181"/>
    </row>
    <row r="83" spans="2:13" ht="10.5" customHeight="1">
      <c r="B83" s="151" t="s">
        <v>68</v>
      </c>
      <c r="C83" s="151"/>
      <c r="D83" s="151" t="s">
        <v>69</v>
      </c>
      <c r="E83" s="179"/>
      <c r="F83" s="181"/>
      <c r="G83" s="181"/>
      <c r="H83" s="181"/>
      <c r="I83" s="181"/>
      <c r="J83" s="181"/>
      <c r="K83" s="181"/>
      <c r="L83" s="181"/>
      <c r="M83" s="181"/>
    </row>
    <row r="84" spans="2:13" ht="10.5" customHeight="1">
      <c r="B84" s="151" t="s">
        <v>27</v>
      </c>
      <c r="C84" s="151"/>
      <c r="D84" s="151" t="s">
        <v>587</v>
      </c>
      <c r="E84" s="179"/>
      <c r="F84" s="181"/>
      <c r="G84" s="181"/>
      <c r="H84" s="181"/>
      <c r="I84" s="181"/>
      <c r="J84" s="181"/>
      <c r="K84" s="181"/>
      <c r="L84" s="181"/>
      <c r="M84" s="181"/>
    </row>
    <row r="85" spans="2:13" ht="10.5" customHeight="1">
      <c r="B85" s="180" t="s">
        <v>28</v>
      </c>
      <c r="C85" s="180"/>
      <c r="D85" s="180" t="s">
        <v>588</v>
      </c>
      <c r="E85" s="96"/>
    </row>
    <row r="86" spans="2:13" ht="10.5" customHeight="1">
      <c r="B86" s="180" t="s">
        <v>29</v>
      </c>
      <c r="C86" s="180"/>
      <c r="D86" s="180" t="str">
        <f>"Utility Capital Improvements Authorized in "&amp;TEXT('KEY INPUTS'!D34,"0")&amp;"; Utility Capital Surplus"</f>
        <v>Utility Capital Improvements Authorized in 2024; Utility Capital Surplus</v>
      </c>
      <c r="E86" s="96"/>
    </row>
    <row r="87" spans="2:13" ht="13.8">
      <c r="B87" s="1130" t="s">
        <v>405</v>
      </c>
      <c r="C87" s="1130"/>
      <c r="D87" s="1130"/>
      <c r="E87" s="1130"/>
      <c r="F87" s="1130"/>
      <c r="G87" s="1130"/>
      <c r="H87" s="1130"/>
      <c r="I87" s="1130"/>
      <c r="J87" s="1130"/>
      <c r="K87" s="1130"/>
      <c r="L87" s="1130"/>
      <c r="M87" s="1130"/>
    </row>
  </sheetData>
  <mergeCells count="5">
    <mergeCell ref="B87:M87"/>
    <mergeCell ref="B2:M2"/>
    <mergeCell ref="B3:M3"/>
    <mergeCell ref="B17:M17"/>
    <mergeCell ref="B69:M69"/>
  </mergeCells>
  <phoneticPr fontId="0" type="noConversion"/>
  <pageMargins left="0.25" right="0.25" top="0.5" bottom="0.5" header="0.25" footer="0.25"/>
  <pageSetup paperSize="5" scale="9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84F01-55E9-4AE8-A714-0233719390BE}">
  <sheetPr codeName="Sheet20"/>
  <dimension ref="B3:M55"/>
  <sheetViews>
    <sheetView topLeftCell="A5" zoomScaleNormal="100" workbookViewId="0">
      <selection activeCell="P21" sqref="P21"/>
    </sheetView>
  </sheetViews>
  <sheetFormatPr defaultColWidth="9.109375" defaultRowHeight="13.2"/>
  <cols>
    <col min="1" max="1" width="4.6640625" customWidth="1"/>
    <col min="2" max="2" width="4.88671875" customWidth="1"/>
    <col min="3" max="4" width="4.6640625" customWidth="1"/>
    <col min="5" max="5" width="30.6640625" customWidth="1"/>
    <col min="6" max="6" width="15.6640625" customWidth="1"/>
    <col min="7" max="8" width="18.6640625" customWidth="1"/>
    <col min="9" max="9" width="10.33203125" bestFit="1" customWidth="1"/>
    <col min="13" max="13" width="10.33203125" bestFit="1" customWidth="1"/>
  </cols>
  <sheetData>
    <row r="3" spans="2:11" ht="22.8">
      <c r="B3" s="1176" t="s">
        <v>424</v>
      </c>
      <c r="C3" s="1176"/>
      <c r="D3" s="1176"/>
      <c r="E3" s="1176"/>
      <c r="F3" s="1176"/>
      <c r="G3" s="1176"/>
      <c r="H3" s="1176"/>
    </row>
    <row r="4" spans="2:11" ht="22.8">
      <c r="B4" s="1176" t="s">
        <v>3612</v>
      </c>
      <c r="C4" s="1176"/>
      <c r="D4" s="1176"/>
      <c r="E4" s="1176"/>
      <c r="F4" s="1176"/>
      <c r="G4" s="1176"/>
      <c r="H4" s="1176"/>
    </row>
    <row r="5" spans="2:11" ht="17.399999999999999">
      <c r="B5" s="1186" t="s">
        <v>620</v>
      </c>
      <c r="C5" s="1186"/>
      <c r="D5" s="1186"/>
      <c r="E5" s="1186"/>
      <c r="F5" s="1186"/>
      <c r="G5" s="1186"/>
      <c r="H5" s="1186"/>
    </row>
    <row r="6" spans="2:11" ht="15.6">
      <c r="B6" s="1182" t="str">
        <f>IF('KEY INPUTS'!C42 = "State Fiscal Year", 'KEY INPUTS'!F45,'KEY INPUTS'!D45)</f>
        <v>AS  AT  DECEMBER  31, 2024</v>
      </c>
      <c r="C6" s="1132"/>
      <c r="D6" s="1132"/>
      <c r="E6" s="1132"/>
      <c r="F6" s="1132"/>
      <c r="G6" s="1132"/>
      <c r="H6" s="1132"/>
    </row>
    <row r="7" spans="2:11" ht="13.8" thickBot="1"/>
    <row r="8" spans="2:11" ht="36" customHeight="1" thickTop="1" thickBot="1">
      <c r="B8" s="1179" t="s">
        <v>95</v>
      </c>
      <c r="C8" s="1179"/>
      <c r="D8" s="1179"/>
      <c r="E8" s="1179"/>
      <c r="F8" s="1180"/>
      <c r="G8" s="4" t="s">
        <v>96</v>
      </c>
      <c r="H8" s="3" t="s">
        <v>97</v>
      </c>
    </row>
    <row r="9" spans="2:11" ht="21" customHeight="1" thickTop="1">
      <c r="B9" s="239" t="s">
        <v>3248</v>
      </c>
      <c r="G9" s="627">
        <f>+'6.4-Trial Bal-Trust Fnds'!G44</f>
        <v>329057.32</v>
      </c>
      <c r="H9" s="628">
        <f>+'6.4-Trial Bal-Trust Fnds'!H44</f>
        <v>329057.32</v>
      </c>
      <c r="I9" s="575"/>
    </row>
    <row r="10" spans="2:11" ht="21" customHeight="1">
      <c r="B10" s="263" t="s">
        <v>3247</v>
      </c>
      <c r="C10" s="5"/>
      <c r="D10" s="5"/>
      <c r="E10" s="5"/>
      <c r="F10" s="5"/>
      <c r="G10" s="629"/>
      <c r="H10" s="509"/>
    </row>
    <row r="11" spans="2:11" ht="21" customHeight="1">
      <c r="B11" s="417"/>
      <c r="C11" s="417"/>
      <c r="D11" s="417"/>
      <c r="E11" s="417"/>
      <c r="F11" s="417"/>
      <c r="G11" s="291"/>
      <c r="H11" s="429"/>
      <c r="I11" s="575"/>
    </row>
    <row r="12" spans="2:11" ht="21" customHeight="1">
      <c r="B12" s="417"/>
      <c r="C12" s="417"/>
      <c r="D12" s="417"/>
      <c r="E12" s="417"/>
      <c r="F12" s="417"/>
      <c r="G12" s="291"/>
      <c r="H12" s="429"/>
    </row>
    <row r="13" spans="2:11" ht="21" customHeight="1">
      <c r="B13" s="417"/>
      <c r="C13" s="417"/>
      <c r="D13" s="417"/>
      <c r="E13" s="417"/>
      <c r="F13" s="417"/>
      <c r="G13" s="291"/>
      <c r="H13" s="429"/>
    </row>
    <row r="14" spans="2:11" ht="21" customHeight="1">
      <c r="B14" s="417"/>
      <c r="C14" s="417"/>
      <c r="D14" s="417"/>
      <c r="E14" s="417"/>
      <c r="F14" s="417"/>
      <c r="G14" s="291"/>
      <c r="H14" s="429"/>
      <c r="K14" s="294"/>
    </row>
    <row r="15" spans="2:11" ht="21" customHeight="1">
      <c r="B15" s="417"/>
      <c r="C15" s="417"/>
      <c r="D15" s="417"/>
      <c r="E15" s="417"/>
      <c r="F15" s="417"/>
      <c r="G15" s="291"/>
      <c r="H15" s="429"/>
    </row>
    <row r="16" spans="2:11" ht="21" customHeight="1">
      <c r="B16" s="417"/>
      <c r="C16" s="417"/>
      <c r="D16" s="417"/>
      <c r="E16" s="417"/>
      <c r="F16" s="417"/>
      <c r="G16" s="291"/>
      <c r="H16" s="429"/>
    </row>
    <row r="17" spans="2:8" ht="21" customHeight="1">
      <c r="B17" s="417"/>
      <c r="C17" s="417"/>
      <c r="D17" s="417"/>
      <c r="E17" s="417"/>
      <c r="F17" s="417"/>
      <c r="G17" s="291"/>
      <c r="H17" s="429"/>
    </row>
    <row r="18" spans="2:8" ht="21" customHeight="1">
      <c r="B18" s="417"/>
      <c r="C18" s="417"/>
      <c r="D18" s="417"/>
      <c r="E18" s="417"/>
      <c r="F18" s="417"/>
      <c r="G18" s="291"/>
      <c r="H18" s="429"/>
    </row>
    <row r="19" spans="2:8" ht="21" customHeight="1">
      <c r="B19" s="417"/>
      <c r="C19" s="417"/>
      <c r="D19" s="417"/>
      <c r="E19" s="417"/>
      <c r="F19" s="417"/>
      <c r="G19" s="291"/>
      <c r="H19" s="429"/>
    </row>
    <row r="20" spans="2:8" ht="21" customHeight="1">
      <c r="B20" s="417"/>
      <c r="C20" s="417"/>
      <c r="D20" s="417"/>
      <c r="E20" s="417"/>
      <c r="F20" s="417"/>
      <c r="G20" s="291"/>
      <c r="H20" s="429"/>
    </row>
    <row r="21" spans="2:8" ht="21" customHeight="1">
      <c r="B21" s="417"/>
      <c r="C21" s="417"/>
      <c r="D21" s="417"/>
      <c r="E21" s="417"/>
      <c r="F21" s="417"/>
      <c r="G21" s="291"/>
      <c r="H21" s="429"/>
    </row>
    <row r="22" spans="2:8" ht="21" customHeight="1">
      <c r="B22" s="417"/>
      <c r="C22" s="417"/>
      <c r="D22" s="417"/>
      <c r="E22" s="417"/>
      <c r="F22" s="417"/>
      <c r="G22" s="291"/>
      <c r="H22" s="429"/>
    </row>
    <row r="23" spans="2:8" ht="21" customHeight="1">
      <c r="B23" s="417"/>
      <c r="C23" s="417"/>
      <c r="D23" s="417"/>
      <c r="E23" s="417"/>
      <c r="F23" s="417"/>
      <c r="G23" s="291"/>
      <c r="H23" s="429"/>
    </row>
    <row r="24" spans="2:8" ht="21" customHeight="1">
      <c r="B24" s="417"/>
      <c r="C24" s="417"/>
      <c r="D24" s="417"/>
      <c r="E24" s="417"/>
      <c r="F24" s="417"/>
      <c r="G24" s="291"/>
      <c r="H24" s="429"/>
    </row>
    <row r="25" spans="2:8" ht="21" customHeight="1">
      <c r="B25" s="417"/>
      <c r="C25" s="417"/>
      <c r="D25" s="417"/>
      <c r="E25" s="417"/>
      <c r="F25" s="417"/>
      <c r="G25" s="291"/>
      <c r="H25" s="429"/>
    </row>
    <row r="26" spans="2:8" ht="21" customHeight="1">
      <c r="B26" s="417"/>
      <c r="C26" s="417"/>
      <c r="D26" s="417"/>
      <c r="E26" s="417"/>
      <c r="F26" s="417"/>
      <c r="G26" s="291"/>
      <c r="H26" s="429"/>
    </row>
    <row r="27" spans="2:8" ht="21" customHeight="1">
      <c r="B27" s="417"/>
      <c r="C27" s="417"/>
      <c r="D27" s="417"/>
      <c r="E27" s="417"/>
      <c r="F27" s="417"/>
      <c r="G27" s="291"/>
      <c r="H27" s="429"/>
    </row>
    <row r="28" spans="2:8" ht="21" customHeight="1">
      <c r="B28" s="417"/>
      <c r="C28" s="417"/>
      <c r="D28" s="417"/>
      <c r="E28" s="417"/>
      <c r="F28" s="417"/>
      <c r="G28" s="291"/>
      <c r="H28" s="429"/>
    </row>
    <row r="29" spans="2:8" ht="21" customHeight="1">
      <c r="B29" s="417"/>
      <c r="C29" s="417"/>
      <c r="D29" s="417"/>
      <c r="E29" s="417"/>
      <c r="F29" s="417"/>
      <c r="G29" s="291"/>
      <c r="H29" s="429"/>
    </row>
    <row r="30" spans="2:8" ht="21" customHeight="1">
      <c r="B30" s="417"/>
      <c r="C30" s="417"/>
      <c r="D30" s="417"/>
      <c r="E30" s="417"/>
      <c r="F30" s="417"/>
      <c r="G30" s="291"/>
      <c r="H30" s="429"/>
    </row>
    <row r="31" spans="2:8" ht="21" customHeight="1">
      <c r="B31" s="417"/>
      <c r="C31" s="417"/>
      <c r="D31" s="417"/>
      <c r="E31" s="417"/>
      <c r="F31" s="417"/>
      <c r="G31" s="291"/>
      <c r="H31" s="429"/>
    </row>
    <row r="32" spans="2:8" ht="21" customHeight="1">
      <c r="B32" s="417"/>
      <c r="C32" s="417"/>
      <c r="D32" s="417"/>
      <c r="E32" s="417"/>
      <c r="F32" s="417"/>
      <c r="G32" s="291"/>
      <c r="H32" s="429"/>
    </row>
    <row r="33" spans="2:13" ht="21" customHeight="1">
      <c r="B33" s="417"/>
      <c r="C33" s="417"/>
      <c r="D33" s="417"/>
      <c r="E33" s="417"/>
      <c r="F33" s="417"/>
      <c r="G33" s="291"/>
      <c r="H33" s="429"/>
      <c r="M33" s="204"/>
    </row>
    <row r="34" spans="2:13" ht="21" customHeight="1">
      <c r="B34" s="417"/>
      <c r="C34" s="417"/>
      <c r="D34" s="417"/>
      <c r="E34" s="417"/>
      <c r="F34" s="417"/>
      <c r="G34" s="291"/>
      <c r="H34" s="429"/>
    </row>
    <row r="35" spans="2:13" ht="21" customHeight="1">
      <c r="B35" s="417"/>
      <c r="C35" s="417"/>
      <c r="D35" s="417"/>
      <c r="E35" s="417"/>
      <c r="F35" s="417"/>
      <c r="G35" s="291"/>
      <c r="H35" s="429"/>
    </row>
    <row r="36" spans="2:13" ht="21" customHeight="1">
      <c r="B36" s="417"/>
      <c r="C36" s="417"/>
      <c r="D36" s="417"/>
      <c r="E36" s="417"/>
      <c r="F36" s="417"/>
      <c r="G36" s="291"/>
      <c r="H36" s="429"/>
    </row>
    <row r="37" spans="2:13" ht="21" customHeight="1">
      <c r="B37" s="417"/>
      <c r="C37" s="417"/>
      <c r="D37" s="417"/>
      <c r="E37" s="417"/>
      <c r="F37" s="417"/>
      <c r="G37" s="291"/>
      <c r="H37" s="429"/>
    </row>
    <row r="38" spans="2:13" ht="21" customHeight="1">
      <c r="B38" s="417"/>
      <c r="C38" s="417"/>
      <c r="D38" s="417"/>
      <c r="E38" s="417"/>
      <c r="F38" s="417"/>
      <c r="G38" s="291"/>
      <c r="H38" s="429"/>
    </row>
    <row r="39" spans="2:13" ht="21" customHeight="1">
      <c r="B39" s="417"/>
      <c r="C39" s="417"/>
      <c r="D39" s="417"/>
      <c r="E39" s="417"/>
      <c r="F39" s="417"/>
      <c r="G39" s="291"/>
      <c r="H39" s="429"/>
    </row>
    <row r="40" spans="2:13" ht="21" customHeight="1">
      <c r="B40" s="417"/>
      <c r="C40" s="417"/>
      <c r="D40" s="417"/>
      <c r="E40" s="417"/>
      <c r="F40" s="417"/>
      <c r="G40" s="291"/>
      <c r="H40" s="429"/>
    </row>
    <row r="41" spans="2:13" ht="21" customHeight="1">
      <c r="B41" s="417"/>
      <c r="C41" s="417"/>
      <c r="D41" s="417"/>
      <c r="E41" s="417"/>
      <c r="F41" s="417"/>
      <c r="G41" s="291"/>
      <c r="H41" s="429"/>
    </row>
    <row r="42" spans="2:13" ht="21" customHeight="1">
      <c r="B42" s="417"/>
      <c r="C42" s="417"/>
      <c r="D42" s="417"/>
      <c r="E42" s="417"/>
      <c r="F42" s="417"/>
      <c r="G42" s="291"/>
      <c r="H42" s="429"/>
    </row>
    <row r="43" spans="2:13" ht="21" customHeight="1">
      <c r="B43" s="417"/>
      <c r="C43" s="417"/>
      <c r="D43" s="417"/>
      <c r="E43" s="417"/>
      <c r="F43" s="417"/>
      <c r="G43" s="291"/>
      <c r="H43" s="429"/>
    </row>
    <row r="44" spans="2:13" ht="21" customHeight="1">
      <c r="B44" s="263" t="s">
        <v>798</v>
      </c>
      <c r="C44" s="5"/>
      <c r="D44" s="5"/>
      <c r="E44" s="5"/>
      <c r="F44" s="5"/>
      <c r="G44" s="629">
        <f>SUM(G9:G43)</f>
        <v>329057.32</v>
      </c>
      <c r="H44" s="636">
        <f>SUM(H9:H43)</f>
        <v>329057.32</v>
      </c>
    </row>
    <row r="45" spans="2:13">
      <c r="B45" s="1158" t="s">
        <v>98</v>
      </c>
      <c r="C45" s="1158"/>
      <c r="D45" s="1158"/>
      <c r="E45" s="1158"/>
      <c r="F45" s="1158"/>
      <c r="G45" s="1158"/>
      <c r="H45" s="1158"/>
    </row>
    <row r="46" spans="2:13">
      <c r="B46" s="1"/>
      <c r="C46" s="1"/>
      <c r="D46" s="1"/>
      <c r="E46" s="1"/>
      <c r="F46" s="1"/>
      <c r="G46" s="1"/>
      <c r="H46" s="1"/>
    </row>
    <row r="48" spans="2:13" ht="13.8">
      <c r="B48" s="1130" t="s">
        <v>3254</v>
      </c>
      <c r="C48" s="1130"/>
      <c r="D48" s="1130"/>
      <c r="E48" s="1130"/>
      <c r="F48" s="1130"/>
      <c r="G48" s="1130"/>
      <c r="H48" s="1130"/>
    </row>
    <row r="55" spans="9:9">
      <c r="I55" s="204">
        <f>+G44-H44</f>
        <v>0</v>
      </c>
    </row>
  </sheetData>
  <sheetProtection algorithmName="SHA-512" hashValue="rb2PKUXHM+2jYm+e9ZoN4r9BcOOSqU0F+BH+LcCiQOkugo7ZtenzvnpH9y+xr8DS6wJ/kZjYEg77dJyYWYdBOg==" saltValue="aqrAPgNXFjWtYFfCxn+GYg=="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BEA99-6D11-4373-9E41-61A5E158899F}">
  <sheetPr codeName="Sheet194">
    <tabColor theme="3" tint="0.39997558519241921"/>
    <pageSetUpPr fitToPage="1"/>
  </sheetPr>
  <dimension ref="A1:U42"/>
  <sheetViews>
    <sheetView zoomScaleNormal="100" zoomScaleSheetLayoutView="80" workbookViewId="0">
      <selection activeCell="K9" sqref="K9:L12"/>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"&amp;UPPER('KEY INPUTS'!D55)&amp;"  (UTILITY  CAPITAL  FUND)"</f>
        <v>SCHEDULE  OF  IMPROVEMENT  AUTHORIZATIONS  SEWER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543" t="s">
        <v>3699</v>
      </c>
      <c r="C9" s="518"/>
      <c r="D9" s="520"/>
      <c r="E9" s="466"/>
      <c r="F9" s="466">
        <v>23723.52</v>
      </c>
      <c r="G9" s="466"/>
      <c r="H9" s="466"/>
      <c r="I9" s="466"/>
      <c r="J9" s="466"/>
      <c r="K9" s="466"/>
      <c r="L9" s="478">
        <v>23723.52</v>
      </c>
      <c r="O9"/>
      <c r="P9"/>
      <c r="Q9"/>
      <c r="R9"/>
      <c r="S9"/>
      <c r="T9"/>
      <c r="U9"/>
    </row>
    <row r="10" spans="2:21" ht="21" customHeight="1">
      <c r="B10" s="544" t="s">
        <v>3700</v>
      </c>
      <c r="C10" s="495"/>
      <c r="D10" s="499"/>
      <c r="E10" s="450"/>
      <c r="F10" s="450"/>
      <c r="G10" s="450"/>
      <c r="H10" s="450"/>
      <c r="I10" s="426"/>
      <c r="J10" s="450"/>
      <c r="K10" s="451"/>
      <c r="L10" s="451"/>
      <c r="O10" s="294"/>
      <c r="P10"/>
      <c r="Q10"/>
      <c r="R10"/>
      <c r="S10"/>
      <c r="T10"/>
      <c r="U10"/>
    </row>
    <row r="11" spans="2:21" ht="21" customHeight="1">
      <c r="B11" s="545"/>
      <c r="C11" s="495" t="s">
        <v>3701</v>
      </c>
      <c r="D11" s="499"/>
      <c r="E11" s="450"/>
      <c r="F11" s="450">
        <v>510083.53</v>
      </c>
      <c r="G11" s="450"/>
      <c r="H11" s="450"/>
      <c r="I11" s="450"/>
      <c r="J11" s="450"/>
      <c r="K11" s="451"/>
      <c r="L11" s="451">
        <v>510083.53</v>
      </c>
      <c r="O11"/>
      <c r="P11"/>
      <c r="Q11"/>
      <c r="R11"/>
      <c r="S11"/>
      <c r="T11"/>
      <c r="U11"/>
    </row>
    <row r="12" spans="2:21" ht="21" customHeight="1">
      <c r="B12" s="545" t="s">
        <v>3702</v>
      </c>
      <c r="C12" s="495"/>
      <c r="D12" s="499"/>
      <c r="E12" s="450">
        <v>3103</v>
      </c>
      <c r="F12" s="450"/>
      <c r="G12" s="450"/>
      <c r="H12" s="450"/>
      <c r="I12" s="291"/>
      <c r="J12" s="450"/>
      <c r="K12" s="451">
        <v>3103</v>
      </c>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3171</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551</v>
      </c>
      <c r="E27" s="755">
        <f t="shared" ref="E27:L27" si="0">SUM(E9:E26)</f>
        <v>3103</v>
      </c>
      <c r="F27" s="755">
        <f t="shared" si="0"/>
        <v>533807.05000000005</v>
      </c>
      <c r="G27" s="755">
        <f t="shared" si="0"/>
        <v>0</v>
      </c>
      <c r="H27" s="755">
        <f t="shared" si="0"/>
        <v>0</v>
      </c>
      <c r="I27" s="755">
        <f t="shared" si="0"/>
        <v>0</v>
      </c>
      <c r="J27" s="755">
        <f t="shared" si="0"/>
        <v>0</v>
      </c>
      <c r="K27" s="755">
        <f t="shared" si="0"/>
        <v>3103</v>
      </c>
      <c r="L27" s="797">
        <f t="shared" si="0"/>
        <v>533807.05000000005</v>
      </c>
    </row>
    <row r="28" spans="1:21" ht="13.5" customHeight="1" thickTop="1">
      <c r="B28" s="403"/>
      <c r="C28" s="309" t="s">
        <v>521</v>
      </c>
      <c r="D28" s="393"/>
      <c r="K28" s="347"/>
      <c r="L28" s="347"/>
    </row>
    <row r="42" spans="11:12">
      <c r="K42" s="267" t="s">
        <v>3211</v>
      </c>
      <c r="L42" s="301">
        <f>K27+L27</f>
        <v>536910.05000000005</v>
      </c>
    </row>
  </sheetData>
  <sheetProtection algorithmName="SHA-512" hashValue="3Ogn4IDmxpW3RM5giwtbhbwPUQM4oJaewvwj98NNYyk5w7I7dgDBGacWMNfti2+YsUDtYPcGVCz0jRfsAq9XDw==" saltValue="HbDZih7naITs7If95w4v4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scale="79" orientation="landscape"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9F347-8CC9-465A-B174-0AB97B8BDB11}">
  <sheetPr codeName="Sheet195">
    <tabColor theme="3" tint="0.39997558519241921"/>
  </sheetPr>
  <dimension ref="A1:U42"/>
  <sheetViews>
    <sheetView zoomScaleNormal="100" zoomScaleSheetLayoutView="80" workbookViewId="0">
      <selection activeCell="G7" sqref="G7"/>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 &amp;UPPER('KEY INPUTS'!D55)&amp;"  (UTILITY  CAPITAL  FUND)"</f>
        <v>SCHEDULE  OF  IMPROVEMENT  AUTHORIZATIONS  SEWER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65" t="s">
        <v>3263</v>
      </c>
      <c r="C9" s="866"/>
      <c r="D9" s="867"/>
      <c r="E9" s="864">
        <f>+'52-Utility2'!E27</f>
        <v>3103</v>
      </c>
      <c r="F9" s="864">
        <f>+'52-Utility2'!F27</f>
        <v>533807.05000000005</v>
      </c>
      <c r="G9" s="864">
        <f>+'52-Utility2'!G27</f>
        <v>0</v>
      </c>
      <c r="H9" s="864">
        <f>+'52-Utility2'!H27</f>
        <v>0</v>
      </c>
      <c r="I9" s="864">
        <f>+'52-Utility2'!I27</f>
        <v>0</v>
      </c>
      <c r="J9" s="864">
        <f>+'52-Utility2'!J27</f>
        <v>0</v>
      </c>
      <c r="K9" s="864">
        <f>+'52-Utility2'!K27</f>
        <v>3103</v>
      </c>
      <c r="L9" s="868">
        <f>+'52-Utility2'!L27</f>
        <v>533807.05000000005</v>
      </c>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3356</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3360</v>
      </c>
      <c r="E27" s="755">
        <f t="shared" ref="E27:L27" si="0">SUM(E9:E26)</f>
        <v>3103</v>
      </c>
      <c r="F27" s="755">
        <f t="shared" si="0"/>
        <v>533807.05000000005</v>
      </c>
      <c r="G27" s="755">
        <f t="shared" si="0"/>
        <v>0</v>
      </c>
      <c r="H27" s="755">
        <f t="shared" si="0"/>
        <v>0</v>
      </c>
      <c r="I27" s="755">
        <f t="shared" si="0"/>
        <v>0</v>
      </c>
      <c r="J27" s="755">
        <f t="shared" si="0"/>
        <v>0</v>
      </c>
      <c r="K27" s="755">
        <f t="shared" si="0"/>
        <v>3103</v>
      </c>
      <c r="L27" s="797">
        <f t="shared" si="0"/>
        <v>533807.05000000005</v>
      </c>
    </row>
    <row r="28" spans="1:21" ht="13.5" customHeight="1" thickTop="1">
      <c r="B28" s="403"/>
      <c r="C28" s="309" t="s">
        <v>521</v>
      </c>
      <c r="D28" s="393"/>
      <c r="K28" s="347"/>
      <c r="L28" s="347"/>
    </row>
    <row r="42" spans="11:12">
      <c r="K42" s="267" t="s">
        <v>3211</v>
      </c>
      <c r="L42" s="301">
        <f>K27+L27</f>
        <v>536910.05000000005</v>
      </c>
    </row>
  </sheetData>
  <sheetProtection algorithmName="SHA-512" hashValue="OAuDeLZYeKV3Z4AQp6iERutmpEBP5ndBZ6VUZPdFsWvj1+VtuEhTebEwafYt9t1ab8T55bbKhYQocPzzvG1pcg==" saltValue="Mp3maO2cfaTGedl0J2UpK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10DB0-E0D8-4D08-AF9A-007F03F18544}">
  <sheetPr codeName="Sheet196">
    <tabColor theme="3" tint="0.39997558519241921"/>
  </sheetPr>
  <dimension ref="A1:U42"/>
  <sheetViews>
    <sheetView zoomScaleNormal="100" zoomScaleSheetLayoutView="80" workbookViewId="0">
      <selection activeCell="G7" sqref="G7"/>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 &amp;UPPER('KEY INPUTS'!D55)&amp;"  (UTILITY  CAPITAL  FUND)"</f>
        <v>SCHEDULE  OF  IMPROVEMENT  AUTHORIZATIONS  SEWER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65" t="s">
        <v>3263</v>
      </c>
      <c r="C9" s="866"/>
      <c r="D9" s="867"/>
      <c r="E9" s="864">
        <f>+'52.1-Utility2'!E27</f>
        <v>3103</v>
      </c>
      <c r="F9" s="864">
        <f>+'52.1-Utility2'!F27</f>
        <v>533807.05000000005</v>
      </c>
      <c r="G9" s="864">
        <f>+'52.1-Utility2'!G27</f>
        <v>0</v>
      </c>
      <c r="H9" s="864">
        <f>+'52.1-Utility2'!H27</f>
        <v>0</v>
      </c>
      <c r="I9" s="864">
        <f>+'52.1-Utility2'!I27</f>
        <v>0</v>
      </c>
      <c r="J9" s="864">
        <f>+'52.1-Utility2'!J27</f>
        <v>0</v>
      </c>
      <c r="K9" s="864">
        <f>+'52.1-Utility2'!K27</f>
        <v>3103</v>
      </c>
      <c r="L9" s="868">
        <f>+'52.1-Utility2'!L27</f>
        <v>533807.05000000005</v>
      </c>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3357</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3360</v>
      </c>
      <c r="E27" s="755">
        <f t="shared" ref="E27:L27" si="0">SUM(E9:E26)</f>
        <v>3103</v>
      </c>
      <c r="F27" s="755">
        <f t="shared" si="0"/>
        <v>533807.05000000005</v>
      </c>
      <c r="G27" s="755">
        <f t="shared" si="0"/>
        <v>0</v>
      </c>
      <c r="H27" s="755">
        <f t="shared" si="0"/>
        <v>0</v>
      </c>
      <c r="I27" s="755">
        <f t="shared" si="0"/>
        <v>0</v>
      </c>
      <c r="J27" s="755">
        <f t="shared" si="0"/>
        <v>0</v>
      </c>
      <c r="K27" s="755">
        <f t="shared" si="0"/>
        <v>3103</v>
      </c>
      <c r="L27" s="797">
        <f t="shared" si="0"/>
        <v>533807.05000000005</v>
      </c>
    </row>
    <row r="28" spans="1:21" ht="13.5" customHeight="1" thickTop="1">
      <c r="B28" s="403"/>
      <c r="C28" s="309" t="s">
        <v>521</v>
      </c>
      <c r="D28" s="393"/>
      <c r="K28" s="347"/>
      <c r="L28" s="347"/>
    </row>
    <row r="42" spans="11:12">
      <c r="K42" s="267" t="s">
        <v>3211</v>
      </c>
      <c r="L42" s="301">
        <f>K27+L27</f>
        <v>536910.05000000005</v>
      </c>
    </row>
  </sheetData>
  <sheetProtection algorithmName="SHA-512" hashValue="RRXQf7LQNy4FHC12UyuLxvqmeA4c4vimO7Y0XzdsfKw0ETyOq43g8QjR3cCIPROq1704KcOR2ehqWlkW8di3Kw==" saltValue="A1pi7NB9VCdRlc3osO3nf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5F513-1C72-469A-92F8-FDB34457443A}">
  <sheetPr codeName="Sheet197">
    <tabColor theme="3" tint="0.39997558519241921"/>
  </sheetPr>
  <dimension ref="A1:U42"/>
  <sheetViews>
    <sheetView zoomScaleNormal="100" zoomScaleSheetLayoutView="80" workbookViewId="0">
      <selection activeCell="H16" sqref="H16"/>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 &amp;UPPER('KEY INPUTS'!D55)&amp;"  (UTILITY  CAPITAL  FUND)"</f>
        <v>SCHEDULE  OF  IMPROVEMENT  AUTHORIZATIONS  SEWER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65" t="s">
        <v>3263</v>
      </c>
      <c r="C9" s="866"/>
      <c r="D9" s="867"/>
      <c r="E9" s="864">
        <f>+'52.2-Utility2'!E27</f>
        <v>3103</v>
      </c>
      <c r="F9" s="864">
        <f>+'52.2-Utility2'!F27</f>
        <v>533807.05000000005</v>
      </c>
      <c r="G9" s="864">
        <f>+'52.2-Utility2'!G27</f>
        <v>0</v>
      </c>
      <c r="H9" s="864">
        <f>+'52.2-Utility2'!H27</f>
        <v>0</v>
      </c>
      <c r="I9" s="864">
        <f>+'52.2-Utility2'!I27</f>
        <v>0</v>
      </c>
      <c r="J9" s="864">
        <f>+'52.2-Utility2'!J27</f>
        <v>0</v>
      </c>
      <c r="K9" s="864">
        <f>+'52.2-Utility2'!K27</f>
        <v>3103</v>
      </c>
      <c r="L9" s="868">
        <f>+'52.2-Utility2'!L27</f>
        <v>533807.05000000005</v>
      </c>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3358</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3360</v>
      </c>
      <c r="E27" s="755">
        <f t="shared" ref="E27:L27" si="0">SUM(E9:E26)</f>
        <v>3103</v>
      </c>
      <c r="F27" s="755">
        <f t="shared" si="0"/>
        <v>533807.05000000005</v>
      </c>
      <c r="G27" s="755">
        <f t="shared" si="0"/>
        <v>0</v>
      </c>
      <c r="H27" s="755">
        <f t="shared" si="0"/>
        <v>0</v>
      </c>
      <c r="I27" s="755">
        <f t="shared" si="0"/>
        <v>0</v>
      </c>
      <c r="J27" s="755">
        <f t="shared" si="0"/>
        <v>0</v>
      </c>
      <c r="K27" s="755">
        <f t="shared" si="0"/>
        <v>3103</v>
      </c>
      <c r="L27" s="797">
        <f t="shared" si="0"/>
        <v>533807.05000000005</v>
      </c>
    </row>
    <row r="28" spans="1:21" ht="13.5" customHeight="1" thickTop="1">
      <c r="B28" s="403"/>
      <c r="C28" s="309" t="s">
        <v>521</v>
      </c>
      <c r="D28" s="393"/>
      <c r="K28" s="347"/>
      <c r="L28" s="347"/>
    </row>
    <row r="42" spans="11:12">
      <c r="K42" s="267" t="s">
        <v>3211</v>
      </c>
      <c r="L42" s="301">
        <f>K27+L27</f>
        <v>536910.05000000005</v>
      </c>
    </row>
  </sheetData>
  <sheetProtection algorithmName="SHA-512" hashValue="j50vfWSXQ0Jyo4F8Am3tHhQ50ZhoA64ucSBCT2z59ul+Doux+cwropq1d5Y6yxJpaSkNd2HFGWrZFkj0ngrOlg==" saltValue="6miVqq7nfnLYxCMbK4n/Q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353D4-84B1-46B2-913A-9C73AF7B42E1}">
  <sheetPr codeName="Sheet198">
    <tabColor theme="3" tint="0.39997558519241921"/>
  </sheetPr>
  <dimension ref="A1:U42"/>
  <sheetViews>
    <sheetView zoomScaleNormal="100" zoomScaleSheetLayoutView="80" workbookViewId="0">
      <selection activeCell="G7" sqref="G7"/>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 &amp;UPPER('KEY INPUTS'!D55)&amp;"  (UTILITY  CAPITAL  FUND)"</f>
        <v>SCHEDULE  OF  IMPROVEMENT  AUTHORIZATIONS  SEWER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65" t="s">
        <v>3263</v>
      </c>
      <c r="C9" s="866"/>
      <c r="D9" s="867"/>
      <c r="E9" s="864">
        <f>+'52.2-Utility2'!E27</f>
        <v>3103</v>
      </c>
      <c r="F9" s="864">
        <f>+'52.2-Utility2'!F27</f>
        <v>533807.05000000005</v>
      </c>
      <c r="G9" s="864">
        <f>+'52.2-Utility2'!G27</f>
        <v>0</v>
      </c>
      <c r="H9" s="864">
        <f>+'52.2-Utility2'!H27</f>
        <v>0</v>
      </c>
      <c r="I9" s="864">
        <f>+'52.2-Utility2'!I27</f>
        <v>0</v>
      </c>
      <c r="J9" s="864">
        <f>+'52.2-Utility2'!J27</f>
        <v>0</v>
      </c>
      <c r="K9" s="864">
        <f>+'52.2-Utility2'!K27</f>
        <v>3103</v>
      </c>
      <c r="L9" s="868">
        <f>+'52.2-Utility2'!L27</f>
        <v>533807.05000000005</v>
      </c>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3361</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798</v>
      </c>
      <c r="E27" s="129">
        <f t="shared" ref="E27:L27" si="0">SUM(E9:E26)</f>
        <v>3103</v>
      </c>
      <c r="F27" s="129">
        <f t="shared" si="0"/>
        <v>533807.05000000005</v>
      </c>
      <c r="G27" s="129">
        <f t="shared" si="0"/>
        <v>0</v>
      </c>
      <c r="H27" s="129">
        <f t="shared" si="0"/>
        <v>0</v>
      </c>
      <c r="I27" s="129">
        <f t="shared" si="0"/>
        <v>0</v>
      </c>
      <c r="J27" s="129">
        <f t="shared" si="0"/>
        <v>0</v>
      </c>
      <c r="K27" s="129">
        <f t="shared" si="0"/>
        <v>3103</v>
      </c>
      <c r="L27" s="146">
        <f t="shared" si="0"/>
        <v>533807.05000000005</v>
      </c>
    </row>
    <row r="28" spans="1:21" ht="13.5" customHeight="1" thickTop="1">
      <c r="B28" s="403"/>
      <c r="C28" s="309" t="s">
        <v>521</v>
      </c>
      <c r="D28" s="393"/>
      <c r="K28" s="347"/>
      <c r="L28" s="347"/>
    </row>
    <row r="42" spans="11:12">
      <c r="K42" s="267" t="s">
        <v>3211</v>
      </c>
      <c r="L42" s="301">
        <f>K27+L27</f>
        <v>536910.05000000005</v>
      </c>
    </row>
  </sheetData>
  <sheetProtection algorithmName="SHA-512" hashValue="/LET4/8YQ44lFTSVHRr/o99/znOmqmfZsqA2yMzNi7NhlcaKm5flsSvjD3HJb52makxMve3v9UXCd1eU8VNjzQ==" saltValue="ti3YVF/Qw0ZG7yyYsoDwT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CFE6F-E141-498B-B3F7-B247BAC7233F}">
  <sheetPr codeName="Sheet199">
    <tabColor theme="3" tint="0.39997558519241921"/>
  </sheetPr>
  <dimension ref="B3:S54"/>
  <sheetViews>
    <sheetView zoomScaleNormal="100" zoomScaleSheetLayoutView="80" workbookViewId="0">
      <selection activeCell="J9" sqref="J9"/>
    </sheetView>
  </sheetViews>
  <sheetFormatPr defaultColWidth="9.109375" defaultRowHeight="13.2"/>
  <cols>
    <col min="1" max="3" width="4.6640625" style="267" customWidth="1"/>
    <col min="4" max="4" width="4.5546875" style="267" customWidth="1"/>
    <col min="5" max="6" width="9.109375" style="267"/>
    <col min="7" max="7" width="14.44140625" style="267" customWidth="1"/>
    <col min="8" max="8" width="15" style="267" customWidth="1"/>
    <col min="9" max="10" width="16.6640625" style="267" customWidth="1"/>
    <col min="11" max="16384" width="9.109375" style="267"/>
  </cols>
  <sheetData>
    <row r="3" spans="2:19" ht="22.8">
      <c r="B3" s="1358" t="str">
        <f>UPPER('KEY INPUTS'!D$55)&amp;" UTILITY  CAPITAL  FUND"</f>
        <v>SEWER UTILITY  CAPITAL  FUND</v>
      </c>
      <c r="C3" s="1358"/>
      <c r="D3" s="1358"/>
      <c r="E3" s="1358"/>
      <c r="F3" s="1358"/>
      <c r="G3" s="1358"/>
      <c r="H3" s="1358"/>
      <c r="I3" s="1358"/>
      <c r="J3" s="1358"/>
    </row>
    <row r="5" spans="2:19" ht="15.6">
      <c r="B5" s="1360" t="s">
        <v>525</v>
      </c>
      <c r="C5" s="1360"/>
      <c r="D5" s="1360"/>
      <c r="E5" s="1360"/>
      <c r="F5" s="1360"/>
      <c r="G5" s="1360"/>
      <c r="H5" s="1360"/>
      <c r="I5" s="1360"/>
      <c r="J5" s="1360"/>
    </row>
    <row r="6" spans="2:19" ht="13.8" thickBot="1"/>
    <row r="7" spans="2:19" ht="28.5" customHeight="1" thickTop="1" thickBot="1">
      <c r="B7" s="364"/>
      <c r="C7" s="364"/>
      <c r="D7" s="364"/>
      <c r="E7" s="364"/>
      <c r="F7" s="364"/>
      <c r="G7" s="364"/>
      <c r="H7" s="364"/>
      <c r="I7" s="304" t="s">
        <v>96</v>
      </c>
      <c r="J7" s="308" t="s">
        <v>97</v>
      </c>
    </row>
    <row r="8" spans="2:19" ht="21" customHeight="1" thickTop="1">
      <c r="B8" s="313" t="str">
        <f>IF('KEY INPUTS'!C42 = "State Fiscal Year", 'KEY INPUTS'!F25,'KEY INPUTS'!D25)</f>
        <v>Balance - January 1, 2024</v>
      </c>
      <c r="C8" s="313"/>
      <c r="D8" s="313"/>
      <c r="E8" s="313"/>
      <c r="F8" s="313"/>
      <c r="G8" s="313"/>
      <c r="H8" s="409"/>
      <c r="I8" s="757" t="s">
        <v>627</v>
      </c>
      <c r="J8" s="486">
        <v>48538.75</v>
      </c>
    </row>
    <row r="9" spans="2:19" ht="21" customHeight="1">
      <c r="B9" s="248" t="str">
        <f>"Received from "&amp;IF('KEY INPUTS'!C42="State Fiscal Year","Fiscal Year "&amp;'KEY INPUTS'!D33&amp;"",'KEY INPUTS'!D34)&amp;" Budget Appropriation"</f>
        <v>Received from 2024 Budget Appropriation</v>
      </c>
      <c r="C9" s="248"/>
      <c r="D9" s="248"/>
      <c r="E9" s="248"/>
      <c r="F9" s="248"/>
      <c r="G9" s="248"/>
      <c r="H9" s="407"/>
      <c r="I9" s="702" t="s">
        <v>627</v>
      </c>
      <c r="J9" s="457"/>
      <c r="M9"/>
      <c r="N9"/>
      <c r="O9"/>
      <c r="P9"/>
      <c r="Q9"/>
      <c r="R9"/>
      <c r="S9"/>
    </row>
    <row r="10" spans="2:19" ht="21" customHeight="1">
      <c r="B10" s="495"/>
      <c r="C10" s="495"/>
      <c r="D10" s="495"/>
      <c r="E10" s="495"/>
      <c r="F10" s="495"/>
      <c r="G10" s="495"/>
      <c r="H10" s="495"/>
      <c r="I10" s="702" t="s">
        <v>627</v>
      </c>
      <c r="J10" s="457"/>
      <c r="M10"/>
      <c r="N10"/>
      <c r="O10"/>
      <c r="P10"/>
      <c r="Q10"/>
      <c r="R10"/>
      <c r="S10"/>
    </row>
    <row r="11" spans="2:19" ht="11.25" customHeight="1">
      <c r="B11" s="412" t="s">
        <v>176</v>
      </c>
      <c r="C11" s="411"/>
      <c r="D11" s="411"/>
      <c r="E11" s="411"/>
      <c r="F11" s="411"/>
      <c r="G11" s="411"/>
      <c r="H11" s="406"/>
      <c r="I11" s="1458" t="s">
        <v>627</v>
      </c>
      <c r="J11" s="1456"/>
      <c r="M11" s="294"/>
      <c r="N11"/>
      <c r="O11"/>
      <c r="P11"/>
      <c r="Q11"/>
      <c r="R11"/>
      <c r="S11"/>
    </row>
    <row r="12" spans="2:19" ht="12.75" customHeight="1">
      <c r="B12" s="333"/>
      <c r="C12" s="408" t="s">
        <v>177</v>
      </c>
      <c r="D12" s="333"/>
      <c r="E12" s="333"/>
      <c r="F12" s="333"/>
      <c r="G12" s="333"/>
      <c r="H12" s="410"/>
      <c r="I12" s="1459"/>
      <c r="J12" s="1457"/>
      <c r="M12"/>
      <c r="N12"/>
      <c r="O12"/>
      <c r="P12"/>
      <c r="Q12"/>
      <c r="R12"/>
      <c r="S12"/>
    </row>
    <row r="13" spans="2:19" ht="21" customHeight="1">
      <c r="B13" s="514"/>
      <c r="C13" s="869"/>
      <c r="D13" s="514"/>
      <c r="E13" s="514"/>
      <c r="F13" s="514"/>
      <c r="G13" s="514"/>
      <c r="H13" s="514"/>
      <c r="I13" s="527"/>
      <c r="J13" s="293"/>
      <c r="M13"/>
      <c r="N13"/>
      <c r="O13"/>
      <c r="P13"/>
      <c r="Q13"/>
      <c r="R13"/>
      <c r="S13"/>
    </row>
    <row r="14" spans="2:19" ht="21" customHeight="1">
      <c r="B14" s="248" t="s">
        <v>178</v>
      </c>
      <c r="C14" s="248"/>
      <c r="D14" s="248"/>
      <c r="E14" s="248"/>
      <c r="F14" s="248"/>
      <c r="G14" s="248"/>
      <c r="H14" s="248"/>
      <c r="I14" s="702" t="s">
        <v>627</v>
      </c>
      <c r="J14" s="706" t="s">
        <v>627</v>
      </c>
      <c r="M14"/>
      <c r="N14"/>
      <c r="O14"/>
      <c r="P14"/>
      <c r="Q14"/>
      <c r="R14"/>
      <c r="S14"/>
    </row>
    <row r="15" spans="2:19" ht="21" customHeight="1">
      <c r="B15" s="495"/>
      <c r="C15" s="495"/>
      <c r="D15" s="495"/>
      <c r="E15" s="495"/>
      <c r="F15" s="495"/>
      <c r="G15" s="495"/>
      <c r="H15" s="495"/>
      <c r="I15" s="450"/>
      <c r="J15" s="706" t="s">
        <v>627</v>
      </c>
      <c r="M15"/>
      <c r="N15"/>
      <c r="O15"/>
      <c r="P15"/>
      <c r="Q15"/>
      <c r="R15"/>
      <c r="S15"/>
    </row>
    <row r="16" spans="2:19" ht="21" customHeight="1">
      <c r="B16" s="495"/>
      <c r="C16" s="495"/>
      <c r="D16" s="495"/>
      <c r="E16" s="495"/>
      <c r="F16" s="495"/>
      <c r="G16" s="495"/>
      <c r="H16" s="495"/>
      <c r="I16" s="450"/>
      <c r="J16" s="706" t="s">
        <v>627</v>
      </c>
      <c r="M16"/>
      <c r="N16"/>
      <c r="O16"/>
      <c r="P16"/>
      <c r="Q16"/>
      <c r="R16"/>
      <c r="S16"/>
    </row>
    <row r="17" spans="2:19" ht="21" customHeight="1">
      <c r="B17" s="495"/>
      <c r="C17" s="495"/>
      <c r="D17" s="495"/>
      <c r="E17" s="495"/>
      <c r="F17" s="495"/>
      <c r="G17" s="495"/>
      <c r="H17" s="495"/>
      <c r="I17" s="450"/>
      <c r="J17" s="706" t="s">
        <v>627</v>
      </c>
      <c r="M17"/>
      <c r="N17"/>
      <c r="O17"/>
      <c r="P17"/>
      <c r="Q17"/>
      <c r="R17"/>
      <c r="S17"/>
    </row>
    <row r="18" spans="2:19" ht="21" customHeight="1">
      <c r="B18" s="495"/>
      <c r="C18" s="495"/>
      <c r="D18" s="495"/>
      <c r="E18" s="495"/>
      <c r="F18" s="495"/>
      <c r="G18" s="495"/>
      <c r="H18" s="495"/>
      <c r="I18" s="450"/>
      <c r="J18" s="706" t="s">
        <v>627</v>
      </c>
      <c r="M18"/>
      <c r="N18"/>
      <c r="O18"/>
      <c r="P18"/>
      <c r="Q18"/>
      <c r="R18"/>
      <c r="S18"/>
    </row>
    <row r="19" spans="2:19" ht="21" customHeight="1">
      <c r="B19" s="495"/>
      <c r="C19" s="495"/>
      <c r="D19" s="495"/>
      <c r="E19" s="495"/>
      <c r="F19" s="495"/>
      <c r="G19" s="495"/>
      <c r="H19" s="495"/>
      <c r="I19" s="450"/>
      <c r="J19" s="706" t="s">
        <v>627</v>
      </c>
      <c r="M19"/>
      <c r="N19"/>
      <c r="O19"/>
      <c r="P19"/>
      <c r="Q19"/>
      <c r="R19"/>
      <c r="S19"/>
    </row>
    <row r="20" spans="2:19" ht="21" customHeight="1">
      <c r="B20" s="495"/>
      <c r="C20" s="495"/>
      <c r="D20" s="495"/>
      <c r="E20" s="495"/>
      <c r="F20" s="495"/>
      <c r="G20" s="495"/>
      <c r="H20" s="495"/>
      <c r="I20" s="450"/>
      <c r="J20" s="706" t="s">
        <v>627</v>
      </c>
      <c r="M20"/>
      <c r="N20"/>
      <c r="O20"/>
      <c r="P20"/>
      <c r="Q20"/>
      <c r="R20"/>
      <c r="S20"/>
    </row>
    <row r="21" spans="2:19" ht="21" customHeight="1">
      <c r="B21" s="495"/>
      <c r="C21" s="495"/>
      <c r="D21" s="495"/>
      <c r="E21" s="495"/>
      <c r="F21" s="495"/>
      <c r="G21" s="495"/>
      <c r="H21" s="495"/>
      <c r="I21" s="450"/>
      <c r="J21" s="706" t="s">
        <v>627</v>
      </c>
      <c r="M21"/>
      <c r="N21"/>
      <c r="O21"/>
      <c r="P21"/>
      <c r="Q21"/>
      <c r="R21"/>
      <c r="S21"/>
    </row>
    <row r="22" spans="2:19" ht="21" customHeight="1">
      <c r="B22" s="248" t="s">
        <v>179</v>
      </c>
      <c r="C22" s="248"/>
      <c r="D22" s="248"/>
      <c r="E22" s="248"/>
      <c r="F22" s="248"/>
      <c r="G22" s="248"/>
      <c r="H22" s="407"/>
      <c r="I22" s="450"/>
      <c r="J22" s="706" t="s">
        <v>627</v>
      </c>
      <c r="M22"/>
      <c r="N22"/>
      <c r="O22"/>
      <c r="P22"/>
      <c r="Q22"/>
      <c r="R22"/>
      <c r="S22"/>
    </row>
    <row r="23" spans="2:19" ht="21" customHeight="1">
      <c r="B23" s="495"/>
      <c r="C23" s="495"/>
      <c r="D23" s="495"/>
      <c r="E23" s="495"/>
      <c r="F23" s="495"/>
      <c r="G23" s="495"/>
      <c r="H23" s="495"/>
      <c r="I23" s="450"/>
      <c r="J23" s="706" t="s">
        <v>627</v>
      </c>
      <c r="M23"/>
      <c r="N23"/>
      <c r="O23"/>
      <c r="P23"/>
      <c r="Q23"/>
      <c r="R23"/>
      <c r="S23"/>
    </row>
    <row r="24" spans="2:19" ht="21" customHeight="1" thickBot="1">
      <c r="B24" s="248" t="str">
        <f>IF('KEY INPUTS'!C42 = "State Fiscal Year", 'KEY INPUTS'!F26,'KEY INPUTS'!D26)</f>
        <v>Balance - December 31, 2024</v>
      </c>
      <c r="C24" s="248"/>
      <c r="D24" s="248"/>
      <c r="E24" s="248"/>
      <c r="F24" s="248"/>
      <c r="G24" s="248"/>
      <c r="H24" s="407"/>
      <c r="I24" s="768">
        <f>+SUM(J8:J13)-SUM(I13:I23)</f>
        <v>48538.75</v>
      </c>
      <c r="J24" s="766" t="s">
        <v>627</v>
      </c>
      <c r="M24"/>
      <c r="N24"/>
      <c r="O24"/>
      <c r="P24"/>
      <c r="Q24"/>
      <c r="R24"/>
      <c r="S24"/>
    </row>
    <row r="25" spans="2:19" ht="21" customHeight="1" thickTop="1" thickBot="1">
      <c r="I25" s="748">
        <f>SUM(I8:I24)</f>
        <v>48538.75</v>
      </c>
      <c r="J25" s="769">
        <f>SUM(J8:J24)</f>
        <v>48538.75</v>
      </c>
      <c r="M25"/>
      <c r="N25"/>
      <c r="O25"/>
      <c r="P25"/>
      <c r="Q25"/>
      <c r="R25"/>
      <c r="S25"/>
    </row>
    <row r="26" spans="2:19" ht="13.8" thickTop="1"/>
    <row r="30" spans="2:19" ht="22.8">
      <c r="B30" s="1358" t="str">
        <f>UPPER('KEY INPUTS'!D$55)&amp;" UTILITY  CAPITAL  FUND"</f>
        <v>SEWER UTILITY  CAPITAL  FUND</v>
      </c>
      <c r="C30" s="1358"/>
      <c r="D30" s="1358"/>
      <c r="E30" s="1358"/>
      <c r="F30" s="1358"/>
      <c r="G30" s="1358"/>
      <c r="H30" s="1358"/>
      <c r="I30" s="1358"/>
      <c r="J30" s="1358"/>
    </row>
    <row r="31" spans="2:19" ht="7.5" customHeight="1"/>
    <row r="32" spans="2:19" ht="15.6">
      <c r="B32" s="1360" t="s">
        <v>180</v>
      </c>
      <c r="C32" s="1360"/>
      <c r="D32" s="1360"/>
      <c r="E32" s="1360"/>
      <c r="F32" s="1360"/>
      <c r="G32" s="1360"/>
      <c r="H32" s="1360"/>
      <c r="I32" s="1360"/>
      <c r="J32" s="1360"/>
    </row>
    <row r="33" spans="2:10" ht="13.8" thickBot="1"/>
    <row r="34" spans="2:10" ht="26.25" customHeight="1" thickTop="1" thickBot="1">
      <c r="B34" s="364"/>
      <c r="C34" s="364"/>
      <c r="D34" s="364"/>
      <c r="E34" s="364"/>
      <c r="F34" s="364"/>
      <c r="G34" s="364"/>
      <c r="H34" s="364"/>
      <c r="I34" s="304" t="s">
        <v>96</v>
      </c>
      <c r="J34" s="308" t="s">
        <v>97</v>
      </c>
    </row>
    <row r="35" spans="2:10" ht="21" customHeight="1" thickTop="1">
      <c r="B35" s="313" t="str">
        <f>IF('KEY INPUTS'!C42 = "State Fiscal Year", 'KEY INPUTS'!F25,'KEY INPUTS'!D25)</f>
        <v>Balance - January 1, 2024</v>
      </c>
      <c r="C35" s="313"/>
      <c r="D35" s="313"/>
      <c r="E35" s="313"/>
      <c r="F35" s="313"/>
      <c r="G35" s="313"/>
      <c r="H35" s="409"/>
      <c r="I35" s="757" t="s">
        <v>627</v>
      </c>
      <c r="J35" s="486"/>
    </row>
    <row r="36" spans="2:10" ht="21" customHeight="1">
      <c r="B36" s="248" t="str">
        <f>"Received from "&amp;IF('KEY INPUTS'!C42="State Fiscal Year","Fiscal Year "&amp;'KEY INPUTS'!D33&amp;"",'KEY INPUTS'!D34+1)&amp;" Budget Appropriation *"</f>
        <v>Received from 2025 Budget Appropriation *</v>
      </c>
      <c r="C36" s="248"/>
      <c r="D36" s="248"/>
      <c r="E36" s="248"/>
      <c r="F36" s="248"/>
      <c r="G36" s="248"/>
      <c r="H36" s="407"/>
      <c r="I36" s="702" t="s">
        <v>627</v>
      </c>
      <c r="J36" s="457"/>
    </row>
    <row r="37" spans="2:10" ht="21" customHeight="1">
      <c r="B37" s="248" t="str">
        <f>"Received from "&amp;IF('KEY INPUTS'!C42="State Fiscal Year","Fiscal Year "&amp;'KEY INPUTS'!D33&amp;"",'KEY INPUTS'!D34+1)&amp;" Emergency Appropriation *"</f>
        <v>Received from 2025 Emergency Appropriation *</v>
      </c>
      <c r="C37" s="248"/>
      <c r="D37" s="248"/>
      <c r="E37" s="248"/>
      <c r="F37" s="248"/>
      <c r="G37" s="248"/>
      <c r="H37" s="407"/>
      <c r="I37" s="702" t="s">
        <v>627</v>
      </c>
      <c r="J37" s="457"/>
    </row>
    <row r="38" spans="2:10" ht="21" customHeight="1">
      <c r="B38" s="514"/>
      <c r="C38" s="869"/>
      <c r="D38" s="514"/>
      <c r="E38" s="514"/>
      <c r="F38" s="514"/>
      <c r="G38" s="514"/>
      <c r="H38" s="514"/>
      <c r="I38" s="527"/>
      <c r="J38" s="293"/>
    </row>
    <row r="39" spans="2:10" ht="21" customHeight="1">
      <c r="B39" s="248" t="s">
        <v>179</v>
      </c>
      <c r="C39" s="248"/>
      <c r="D39" s="248"/>
      <c r="E39" s="248"/>
      <c r="F39" s="248"/>
      <c r="G39" s="248"/>
      <c r="H39" s="407"/>
      <c r="I39" s="450"/>
      <c r="J39" s="706" t="s">
        <v>627</v>
      </c>
    </row>
    <row r="40" spans="2:10" ht="21" customHeight="1">
      <c r="B40" s="495"/>
      <c r="C40" s="495"/>
      <c r="D40" s="495"/>
      <c r="E40" s="495"/>
      <c r="F40" s="495"/>
      <c r="G40" s="495"/>
      <c r="H40" s="495"/>
      <c r="I40" s="450"/>
      <c r="J40" s="706" t="s">
        <v>627</v>
      </c>
    </row>
    <row r="41" spans="2:10" ht="21" customHeight="1" thickBot="1">
      <c r="B41" s="248" t="str">
        <f>IF('KEY INPUTS'!C42 = "State Fiscal Year", 'KEY INPUTS'!F26,'KEY INPUTS'!D26)</f>
        <v>Balance - December 31, 2024</v>
      </c>
      <c r="C41" s="248"/>
      <c r="D41" s="248"/>
      <c r="E41" s="248"/>
      <c r="F41" s="248"/>
      <c r="G41" s="248"/>
      <c r="H41" s="407"/>
      <c r="I41" s="870">
        <f>SUM(J35:J38)-SUM(I38:I40)</f>
        <v>0</v>
      </c>
      <c r="J41" s="766" t="s">
        <v>627</v>
      </c>
    </row>
    <row r="42" spans="2:10" ht="21" customHeight="1" thickTop="1" thickBot="1">
      <c r="I42" s="748">
        <f>SUM(I35:I41)</f>
        <v>0</v>
      </c>
      <c r="J42" s="769">
        <f>SUM(J35:J41)</f>
        <v>0</v>
      </c>
    </row>
    <row r="43" spans="2:10" ht="21" customHeight="1" thickTop="1">
      <c r="I43" s="176"/>
      <c r="J43" s="176"/>
    </row>
    <row r="44" spans="2:10" ht="21" customHeight="1"/>
    <row r="45" spans="2:10" ht="13.5" customHeight="1">
      <c r="B45" s="359" t="str">
        <f>"*The full amount of the "&amp;IF('KEY INPUTS'!C42="State Fiscal Year","Fiscal Year "&amp;'KEY INPUTS'!D33&amp;"",'KEY INPUTS'!D34+1)&amp;" budget appropriation should be transferred to this account unless the balance of"</f>
        <v>*The full amount of the 2025 budget appropriation should be transferred to this account unless the balance of</v>
      </c>
      <c r="C45" s="359"/>
    </row>
    <row r="46" spans="2:10" ht="13.5" customHeight="1">
      <c r="B46" s="359"/>
      <c r="C46" s="359" t="s">
        <v>3581</v>
      </c>
    </row>
    <row r="47" spans="2:10" ht="13.5" customHeight="1">
      <c r="B47" s="359"/>
      <c r="C47" s="359"/>
    </row>
    <row r="48" spans="2:10" ht="13.5" customHeight="1">
      <c r="B48" s="359"/>
      <c r="C48" s="359"/>
    </row>
    <row r="49" spans="2:10" ht="13.5" customHeight="1">
      <c r="B49" s="359"/>
      <c r="C49" s="359"/>
    </row>
    <row r="50" spans="2:10" ht="13.5" customHeight="1">
      <c r="B50" s="359"/>
      <c r="C50" s="359"/>
    </row>
    <row r="51" spans="2:10" ht="13.5" customHeight="1">
      <c r="B51" s="359"/>
      <c r="C51" s="359"/>
    </row>
    <row r="52" spans="2:10" ht="13.5" customHeight="1">
      <c r="B52" s="359"/>
      <c r="C52" s="359"/>
    </row>
    <row r="53" spans="2:10" ht="13.5" customHeight="1">
      <c r="B53" s="359"/>
      <c r="C53" s="359"/>
    </row>
    <row r="54" spans="2:10" ht="13.8">
      <c r="B54" s="1353" t="s">
        <v>3172</v>
      </c>
      <c r="C54" s="1353"/>
      <c r="D54" s="1353"/>
      <c r="E54" s="1353"/>
      <c r="F54" s="1353"/>
      <c r="G54" s="1353"/>
      <c r="H54" s="1353"/>
      <c r="I54" s="1353"/>
      <c r="J54" s="1353"/>
    </row>
  </sheetData>
  <sheetProtection algorithmName="SHA-512" hashValue="KZAKUqwKcLLinxnqb0oyCjly9ocoR3ooFGRZV866IJqzpBDi/9bGL58zvBrKjaaGWFFWFFPKN5F9ywBDzK0wyg==" saltValue="8QOmQEjWc/hOXqwB2esBWA=="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F61B5-ACC3-403D-8C37-0F3B609B57E4}">
  <sheetPr codeName="Sheet200">
    <tabColor theme="3" tint="0.39997558519241921"/>
  </sheetPr>
  <dimension ref="B1:AC52"/>
  <sheetViews>
    <sheetView zoomScaleNormal="100" zoomScaleSheetLayoutView="80" workbookViewId="0">
      <selection activeCell="J35" sqref="J35"/>
    </sheetView>
  </sheetViews>
  <sheetFormatPr defaultColWidth="8.88671875" defaultRowHeight="13.2"/>
  <cols>
    <col min="1" max="3" width="4.6640625" style="267" customWidth="1"/>
    <col min="4" max="4" width="4.5546875" style="267" customWidth="1"/>
    <col min="5" max="5" width="8.88671875" style="267"/>
    <col min="6" max="6" width="6.6640625" style="267" customWidth="1"/>
    <col min="7" max="10" width="16.6640625" style="267" customWidth="1"/>
    <col min="11" max="20" width="8.88671875" style="267"/>
    <col min="21" max="23" width="4.6640625" customWidth="1"/>
    <col min="25" max="25" width="6.6640625" customWidth="1"/>
    <col min="26" max="29" width="16.6640625" customWidth="1"/>
    <col min="30" max="16384" width="8.88671875" style="267"/>
  </cols>
  <sheetData>
    <row r="1" spans="2:19">
      <c r="D1" s="359"/>
      <c r="E1" s="359"/>
    </row>
    <row r="2" spans="2:19">
      <c r="D2" s="359"/>
      <c r="E2" s="359"/>
    </row>
    <row r="3" spans="2:19" ht="24.6">
      <c r="B3" s="1460" t="str">
        <f>UPPER('KEY INPUTS'!D$55)&amp;" UTILITY  CAPITAL  FUND"</f>
        <v>SEWER UTILITY  CAPITAL  FUND</v>
      </c>
      <c r="C3" s="1460"/>
      <c r="D3" s="1460"/>
      <c r="E3" s="1460"/>
      <c r="F3" s="1460"/>
      <c r="G3" s="1460"/>
      <c r="H3" s="1460"/>
      <c r="I3" s="1460"/>
      <c r="J3" s="1460"/>
    </row>
    <row r="5" spans="2:19" ht="17.399999999999999">
      <c r="B5" s="1380" t="str">
        <f>"CAPITAL  IMPROVEMENTS  AUTHORIZED  IN  "&amp;IF('KEY INPUTS'!C42="State Fiscal Year","FISCAL  YEAR  "&amp;'KEY INPUTS'!D33&amp;"",'KEY INPUTS'!D34+1)&amp;""</f>
        <v>CAPITAL  IMPROVEMENTS  AUTHORIZED  IN  2025</v>
      </c>
      <c r="C5" s="1380"/>
      <c r="D5" s="1380"/>
      <c r="E5" s="1380"/>
      <c r="F5" s="1380"/>
      <c r="G5" s="1380"/>
      <c r="H5" s="1380"/>
      <c r="I5" s="1380"/>
      <c r="J5" s="1380"/>
    </row>
    <row r="6" spans="2:19" ht="17.399999999999999">
      <c r="B6" s="1380" t="s">
        <v>3569</v>
      </c>
      <c r="C6" s="1380"/>
      <c r="D6" s="1380"/>
      <c r="E6" s="1380"/>
      <c r="F6" s="1380"/>
      <c r="G6" s="1380"/>
      <c r="H6" s="1380"/>
      <c r="I6" s="1380"/>
      <c r="J6" s="1380"/>
    </row>
    <row r="7" spans="2:19" ht="13.8" thickBot="1"/>
    <row r="8" spans="2:19" ht="13.8" thickTop="1">
      <c r="B8" s="323"/>
      <c r="C8" s="323"/>
      <c r="D8" s="323"/>
      <c r="E8" s="323"/>
      <c r="F8" s="323"/>
      <c r="G8" s="324"/>
      <c r="H8" s="324"/>
      <c r="I8" s="324"/>
      <c r="J8" s="353" t="s">
        <v>240</v>
      </c>
    </row>
    <row r="9" spans="2:19">
      <c r="C9" s="1352" t="s">
        <v>413</v>
      </c>
      <c r="D9" s="1352"/>
      <c r="E9" s="1352"/>
      <c r="G9" s="320" t="s">
        <v>414</v>
      </c>
      <c r="H9" s="320" t="s">
        <v>201</v>
      </c>
      <c r="I9" s="320" t="s">
        <v>204</v>
      </c>
      <c r="J9" s="302" t="s">
        <v>241</v>
      </c>
    </row>
    <row r="10" spans="2:19">
      <c r="G10" s="320" t="s">
        <v>202</v>
      </c>
      <c r="H10" s="320" t="s">
        <v>203</v>
      </c>
      <c r="I10" s="320" t="s">
        <v>205</v>
      </c>
      <c r="J10" s="302" t="str">
        <f>"of " &amp;IF('KEY INPUTS'!C42="State Fiscal Year","FY "&amp;'KEY INPUTS'!D33&amp;"",'KEY INPUTS'!D34+1)&amp;" or"</f>
        <v>of 2025 or</v>
      </c>
    </row>
    <row r="11" spans="2:19" ht="13.8" thickBot="1">
      <c r="B11" s="318"/>
      <c r="C11" s="318"/>
      <c r="D11" s="318"/>
      <c r="E11" s="318"/>
      <c r="F11" s="318"/>
      <c r="G11" s="317"/>
      <c r="H11" s="317" t="s">
        <v>441</v>
      </c>
      <c r="I11" s="317" t="s">
        <v>239</v>
      </c>
      <c r="J11" s="416" t="s">
        <v>3579</v>
      </c>
      <c r="M11"/>
      <c r="N11"/>
      <c r="O11"/>
      <c r="P11"/>
      <c r="Q11"/>
      <c r="R11"/>
      <c r="S11"/>
    </row>
    <row r="12" spans="2:19" ht="21" customHeight="1" thickTop="1">
      <c r="B12" s="518"/>
      <c r="C12" s="518"/>
      <c r="D12" s="518"/>
      <c r="E12" s="518"/>
      <c r="F12" s="518"/>
      <c r="G12" s="454"/>
      <c r="H12" s="454"/>
      <c r="I12" s="454"/>
      <c r="J12" s="486"/>
      <c r="M12"/>
      <c r="N12"/>
      <c r="O12"/>
      <c r="P12"/>
      <c r="Q12"/>
      <c r="R12"/>
      <c r="S12"/>
    </row>
    <row r="13" spans="2:19" ht="21" customHeight="1">
      <c r="B13" s="495"/>
      <c r="C13" s="495"/>
      <c r="D13" s="495"/>
      <c r="E13" s="495"/>
      <c r="F13" s="495"/>
      <c r="G13" s="450"/>
      <c r="H13" s="450"/>
      <c r="I13" s="450"/>
      <c r="J13" s="457"/>
      <c r="M13" s="294"/>
      <c r="N13"/>
      <c r="O13"/>
      <c r="P13"/>
      <c r="Q13"/>
      <c r="R13"/>
      <c r="S13"/>
    </row>
    <row r="14" spans="2:19" ht="21" customHeight="1">
      <c r="B14" s="495"/>
      <c r="C14" s="495"/>
      <c r="D14" s="495"/>
      <c r="E14" s="495"/>
      <c r="F14" s="495"/>
      <c r="G14" s="450"/>
      <c r="H14" s="450"/>
      <c r="I14" s="450"/>
      <c r="J14" s="457"/>
      <c r="M14"/>
      <c r="N14"/>
      <c r="O14"/>
      <c r="P14"/>
      <c r="Q14"/>
      <c r="R14"/>
      <c r="S14"/>
    </row>
    <row r="15" spans="2:19" ht="21" customHeight="1">
      <c r="B15" s="495"/>
      <c r="C15" s="495"/>
      <c r="D15" s="495"/>
      <c r="E15" s="495"/>
      <c r="F15" s="495"/>
      <c r="G15" s="450"/>
      <c r="H15" s="450"/>
      <c r="I15" s="450"/>
      <c r="J15" s="457"/>
      <c r="M15"/>
      <c r="N15"/>
      <c r="O15"/>
      <c r="P15"/>
      <c r="Q15"/>
      <c r="R15"/>
      <c r="S15"/>
    </row>
    <row r="16" spans="2:19" ht="21" customHeight="1">
      <c r="B16" s="495"/>
      <c r="C16" s="495"/>
      <c r="D16" s="495"/>
      <c r="E16" s="495"/>
      <c r="F16" s="495"/>
      <c r="G16" s="450"/>
      <c r="H16" s="450"/>
      <c r="I16" s="450"/>
      <c r="J16" s="457"/>
      <c r="M16"/>
      <c r="N16"/>
      <c r="O16"/>
      <c r="P16"/>
      <c r="Q16"/>
      <c r="R16"/>
      <c r="S16"/>
    </row>
    <row r="17" spans="2:19" ht="21" customHeight="1">
      <c r="B17" s="495"/>
      <c r="C17" s="495"/>
      <c r="D17" s="495"/>
      <c r="E17" s="495"/>
      <c r="F17" s="495"/>
      <c r="G17" s="450"/>
      <c r="H17" s="450"/>
      <c r="I17" s="450"/>
      <c r="J17" s="457"/>
      <c r="M17"/>
      <c r="N17"/>
      <c r="O17"/>
      <c r="P17"/>
      <c r="Q17"/>
      <c r="R17"/>
      <c r="S17"/>
    </row>
    <row r="18" spans="2:19" ht="21" customHeight="1">
      <c r="B18" s="495"/>
      <c r="C18" s="495"/>
      <c r="D18" s="495"/>
      <c r="E18" s="495"/>
      <c r="F18" s="495"/>
      <c r="G18" s="450"/>
      <c r="H18" s="450"/>
      <c r="I18" s="450"/>
      <c r="J18" s="457"/>
      <c r="M18"/>
      <c r="N18"/>
      <c r="O18"/>
      <c r="P18"/>
      <c r="Q18"/>
      <c r="R18"/>
      <c r="S18"/>
    </row>
    <row r="19" spans="2:19" ht="21" customHeight="1">
      <c r="B19" s="495"/>
      <c r="C19" s="495"/>
      <c r="D19" s="495"/>
      <c r="E19" s="495"/>
      <c r="F19" s="495"/>
      <c r="G19" s="450"/>
      <c r="H19" s="450"/>
      <c r="I19" s="450"/>
      <c r="J19" s="457"/>
      <c r="M19"/>
      <c r="N19"/>
      <c r="O19"/>
      <c r="P19"/>
      <c r="Q19"/>
      <c r="R19"/>
      <c r="S19"/>
    </row>
    <row r="20" spans="2:19" ht="21" customHeight="1">
      <c r="B20" s="495"/>
      <c r="C20" s="495"/>
      <c r="D20" s="495"/>
      <c r="E20" s="495"/>
      <c r="F20" s="495"/>
      <c r="G20" s="450"/>
      <c r="H20" s="450"/>
      <c r="I20" s="450"/>
      <c r="J20" s="457"/>
      <c r="M20"/>
      <c r="N20"/>
      <c r="O20"/>
      <c r="P20"/>
      <c r="Q20"/>
      <c r="R20"/>
      <c r="S20"/>
    </row>
    <row r="21" spans="2:19" ht="21" customHeight="1" thickBot="1">
      <c r="B21" s="495"/>
      <c r="C21" s="495"/>
      <c r="D21" s="495"/>
      <c r="E21" s="495"/>
      <c r="F21" s="495"/>
      <c r="G21" s="475"/>
      <c r="H21" s="475"/>
      <c r="I21" s="475"/>
      <c r="J21" s="516"/>
      <c r="M21"/>
      <c r="N21"/>
      <c r="O21"/>
      <c r="P21"/>
      <c r="Q21"/>
      <c r="R21"/>
      <c r="S21"/>
    </row>
    <row r="22" spans="2:19" ht="21" customHeight="1" thickTop="1" thickBot="1">
      <c r="B22" s="318"/>
      <c r="C22" s="318"/>
      <c r="D22" s="318"/>
      <c r="E22" s="318"/>
      <c r="F22" s="318"/>
      <c r="G22" s="785">
        <f>SUM(G12:G21)</f>
        <v>0</v>
      </c>
      <c r="H22" s="785">
        <f>SUM(H12:H21)</f>
        <v>0</v>
      </c>
      <c r="I22" s="785">
        <f>SUM(I12:I21)</f>
        <v>0</v>
      </c>
      <c r="J22" s="917">
        <f>SUM(J12:J21)</f>
        <v>0</v>
      </c>
      <c r="M22"/>
      <c r="N22"/>
      <c r="O22"/>
      <c r="P22"/>
      <c r="Q22"/>
      <c r="R22"/>
      <c r="S22"/>
    </row>
    <row r="23" spans="2:19" ht="13.8" thickTop="1">
      <c r="M23"/>
      <c r="N23"/>
      <c r="O23"/>
      <c r="P23"/>
      <c r="Q23"/>
      <c r="R23"/>
      <c r="S23"/>
    </row>
    <row r="24" spans="2:19">
      <c r="M24"/>
      <c r="N24"/>
      <c r="O24"/>
      <c r="P24"/>
      <c r="Q24"/>
      <c r="R24"/>
      <c r="S24"/>
    </row>
    <row r="25" spans="2:19">
      <c r="M25"/>
      <c r="N25"/>
      <c r="O25"/>
      <c r="P25"/>
      <c r="Q25"/>
      <c r="R25"/>
      <c r="S25"/>
    </row>
    <row r="26" spans="2:19">
      <c r="M26"/>
      <c r="N26"/>
      <c r="O26"/>
      <c r="P26"/>
      <c r="Q26"/>
      <c r="R26"/>
      <c r="S26"/>
    </row>
    <row r="27" spans="2:19">
      <c r="M27"/>
      <c r="N27"/>
      <c r="O27"/>
      <c r="P27"/>
      <c r="Q27"/>
      <c r="R27"/>
      <c r="S27"/>
    </row>
    <row r="28" spans="2:19" ht="22.8">
      <c r="B28" s="1358" t="str">
        <f>UPPER('KEY INPUTS'!D$55)&amp;" UTILITY  FUND"</f>
        <v>SEWER UTILITY  FUND</v>
      </c>
      <c r="C28" s="1358"/>
      <c r="D28" s="1358"/>
      <c r="E28" s="1358"/>
      <c r="F28" s="1358"/>
      <c r="G28" s="1358"/>
      <c r="H28" s="1358"/>
      <c r="I28" s="1358"/>
      <c r="J28" s="1358"/>
    </row>
    <row r="29" spans="2:19" ht="22.8">
      <c r="B29" s="1358" t="s">
        <v>154</v>
      </c>
      <c r="C29" s="1358"/>
      <c r="D29" s="1358"/>
      <c r="E29" s="1358"/>
      <c r="F29" s="1358"/>
      <c r="G29" s="1358"/>
      <c r="H29" s="1358"/>
      <c r="I29" s="1358"/>
      <c r="J29" s="1358"/>
    </row>
    <row r="31" spans="2:19" ht="15.6">
      <c r="B31" s="1354" t="str">
        <f>IF('KEY INPUTS'!C42="State Fiscal Year",(UPPER("Fiscal Year "&amp;'KEY INPUTS'!D33))&amp;"",'KEY INPUTS'!D34+1)&amp;""</f>
        <v>2025</v>
      </c>
      <c r="C31" s="1354"/>
      <c r="D31" s="1354"/>
      <c r="E31" s="1354"/>
      <c r="F31" s="1354"/>
      <c r="G31" s="1354"/>
      <c r="H31" s="1354"/>
      <c r="I31" s="1354"/>
      <c r="J31" s="1354"/>
    </row>
    <row r="32" spans="2:19" ht="13.8" thickBot="1"/>
    <row r="33" spans="2:10" ht="28.5" customHeight="1" thickTop="1" thickBot="1">
      <c r="B33" s="364"/>
      <c r="C33" s="364"/>
      <c r="D33" s="364"/>
      <c r="E33" s="364"/>
      <c r="F33" s="364"/>
      <c r="G33" s="364"/>
      <c r="H33" s="364"/>
      <c r="I33" s="304" t="s">
        <v>96</v>
      </c>
      <c r="J33" s="308" t="s">
        <v>97</v>
      </c>
    </row>
    <row r="34" spans="2:10" ht="21" customHeight="1" thickTop="1">
      <c r="B34" s="547" t="str">
        <f>IF('KEY INPUTS'!C42 = "State Fiscal Year", 'KEY INPUTS'!F25,'KEY INPUTS'!D25)</f>
        <v>Balance - January 1, 2024</v>
      </c>
      <c r="C34" s="313"/>
      <c r="D34" s="313"/>
      <c r="E34" s="313"/>
      <c r="F34" s="313"/>
      <c r="G34" s="313"/>
      <c r="H34" s="313"/>
      <c r="I34" s="801" t="s">
        <v>627</v>
      </c>
      <c r="J34" s="485">
        <v>30622.5</v>
      </c>
    </row>
    <row r="35" spans="2:10" ht="21" customHeight="1">
      <c r="B35" s="248" t="s">
        <v>155</v>
      </c>
      <c r="C35" s="248"/>
      <c r="D35" s="248"/>
      <c r="E35" s="248"/>
      <c r="F35" s="248"/>
      <c r="G35" s="248"/>
      <c r="H35" s="248"/>
      <c r="I35" s="804" t="s">
        <v>627</v>
      </c>
      <c r="J35" s="429"/>
    </row>
    <row r="36" spans="2:10" ht="21" customHeight="1">
      <c r="B36" s="248" t="s">
        <v>156</v>
      </c>
      <c r="C36" s="248"/>
      <c r="D36" s="248"/>
      <c r="E36" s="248"/>
      <c r="F36" s="248"/>
      <c r="G36" s="248"/>
      <c r="H36" s="248"/>
      <c r="I36" s="804" t="s">
        <v>627</v>
      </c>
      <c r="J36" s="429"/>
    </row>
    <row r="37" spans="2:10" ht="21" customHeight="1">
      <c r="B37" s="495" t="s">
        <v>3212</v>
      </c>
      <c r="C37" s="495"/>
      <c r="D37" s="495"/>
      <c r="E37" s="495"/>
      <c r="F37" s="495"/>
      <c r="G37" s="495"/>
      <c r="H37" s="495"/>
      <c r="I37" s="291"/>
      <c r="J37" s="429"/>
    </row>
    <row r="38" spans="2:10" ht="21" customHeight="1">
      <c r="B38" s="495"/>
      <c r="C38" s="495"/>
      <c r="D38" s="495"/>
      <c r="E38" s="495"/>
      <c r="F38" s="495"/>
      <c r="G38" s="495"/>
      <c r="H38" s="495"/>
      <c r="I38" s="291"/>
      <c r="J38" s="429"/>
    </row>
    <row r="39" spans="2:10" ht="21" customHeight="1">
      <c r="B39" s="495"/>
      <c r="C39" s="495"/>
      <c r="D39" s="495"/>
      <c r="E39" s="495"/>
      <c r="F39" s="495"/>
      <c r="G39" s="495"/>
      <c r="H39" s="495"/>
      <c r="I39" s="291"/>
      <c r="J39" s="429"/>
    </row>
    <row r="40" spans="2:10" ht="21" customHeight="1">
      <c r="B40" s="248" t="s">
        <v>3174</v>
      </c>
      <c r="C40" s="248"/>
      <c r="D40" s="248"/>
      <c r="E40" s="248"/>
      <c r="F40" s="248"/>
      <c r="G40" s="248"/>
      <c r="H40" s="248"/>
      <c r="I40" s="291"/>
      <c r="J40" s="885" t="s">
        <v>627</v>
      </c>
    </row>
    <row r="41" spans="2:10" ht="21" customHeight="1">
      <c r="B41" s="248" t="str">
        <f>"Appropriation to "&amp;IF('KEY INPUTS'!C42="State Fiscal Year","Fiscal Year "&amp;'KEY INPUTS'!D33&amp;"",'KEY INPUTS'!D34+1)&amp;" Budget Reserve"</f>
        <v>Appropriation to 2025 Budget Reserve</v>
      </c>
      <c r="C41" s="248"/>
      <c r="D41" s="248"/>
      <c r="E41" s="248"/>
      <c r="F41" s="248"/>
      <c r="G41" s="414"/>
      <c r="H41" s="248"/>
      <c r="I41" s="426"/>
      <c r="J41" s="885" t="s">
        <v>627</v>
      </c>
    </row>
    <row r="42" spans="2:10" ht="21" customHeight="1">
      <c r="B42" s="248" t="str">
        <f>IF('KEY INPUTS'!C42 = "State Fiscal Year", 'KEY INPUTS'!F26,'KEY INPUTS'!D26)</f>
        <v>Balance - December 31, 2024</v>
      </c>
      <c r="C42" s="248"/>
      <c r="D42" s="248"/>
      <c r="E42" s="248"/>
      <c r="F42" s="248"/>
      <c r="G42" s="248"/>
      <c r="H42" s="248"/>
      <c r="I42" s="629">
        <f>SUM(J34:J39)-SUM(I37:I41)</f>
        <v>30622.5</v>
      </c>
      <c r="J42" s="885" t="s">
        <v>627</v>
      </c>
    </row>
    <row r="43" spans="2:10" ht="21" customHeight="1" thickBot="1">
      <c r="I43" s="770">
        <f>SUM(I34:I42)</f>
        <v>30622.5</v>
      </c>
      <c r="J43" s="918">
        <f>SUM(J34:J42)</f>
        <v>30622.5</v>
      </c>
    </row>
    <row r="44" spans="2:10" ht="21" customHeight="1" thickTop="1"/>
    <row r="45" spans="2:10" ht="21" customHeight="1"/>
    <row r="46" spans="2:10" ht="21" customHeight="1"/>
    <row r="47" spans="2:10" ht="21" customHeight="1"/>
    <row r="48" spans="2:10" ht="21" customHeight="1"/>
    <row r="49" spans="2:10" ht="21" customHeight="1"/>
    <row r="52" spans="2:10" ht="13.8">
      <c r="B52" s="1353" t="s">
        <v>3173</v>
      </c>
      <c r="C52" s="1353"/>
      <c r="D52" s="1353"/>
      <c r="E52" s="1353"/>
      <c r="F52" s="1353"/>
      <c r="G52" s="1353"/>
      <c r="H52" s="1353"/>
      <c r="I52" s="1353"/>
      <c r="J52" s="1353"/>
    </row>
  </sheetData>
  <sheetProtection algorithmName="SHA-512" hashValue="T7ugSpk6g10NocQTK835dfxs7SvuaiKeQL+pIzYJ+vjthgaR/1PoA3UmRe7I7P8JkKorM/GR1oaS5KlgyHze+A==" saltValue="ybR8bOyr3IZv2QNgHixXmg==" spinCount="100000"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FFE72-E6C2-45AD-9CFD-7DD6AE187DA6}">
  <sheetPr codeName="Sheet201">
    <tabColor theme="5" tint="0.59999389629810485"/>
  </sheetPr>
  <dimension ref="B2:R57"/>
  <sheetViews>
    <sheetView topLeftCell="A22" zoomScaleNormal="100" zoomScaleSheetLayoutView="80" workbookViewId="0">
      <selection activeCell="E42" sqref="E42"/>
    </sheetView>
  </sheetViews>
  <sheetFormatPr defaultColWidth="8.88671875" defaultRowHeight="13.2"/>
  <cols>
    <col min="1" max="1" width="4.6640625" style="267" customWidth="1"/>
    <col min="2" max="2" width="4.88671875" style="267" customWidth="1"/>
    <col min="3" max="4" width="4.6640625" style="267" customWidth="1"/>
    <col min="5" max="5" width="30.6640625" style="267" customWidth="1"/>
    <col min="6" max="6" width="15.6640625" style="267" customWidth="1"/>
    <col min="7" max="8" width="16.6640625" style="267" customWidth="1"/>
    <col min="9" max="9" width="3.6640625" style="267" bestFit="1" customWidth="1"/>
    <col min="10" max="10" width="13.5546875" style="267" bestFit="1" customWidth="1"/>
    <col min="11" max="16384" width="8.88671875" style="267"/>
  </cols>
  <sheetData>
    <row r="2" spans="2:18">
      <c r="B2" s="1357" t="s">
        <v>35</v>
      </c>
      <c r="C2" s="1357"/>
      <c r="D2" s="1357"/>
      <c r="E2" s="1357"/>
      <c r="F2" s="1357"/>
      <c r="G2" s="1357"/>
      <c r="H2" s="1357"/>
    </row>
    <row r="3" spans="2:18">
      <c r="B3" s="1357" t="s">
        <v>449</v>
      </c>
      <c r="C3" s="1357"/>
      <c r="D3" s="1357"/>
      <c r="E3" s="1357"/>
      <c r="F3" s="1357"/>
      <c r="G3" s="1357"/>
      <c r="H3" s="1357"/>
    </row>
    <row r="5" spans="2:18" ht="22.8">
      <c r="B5" s="1358" t="s">
        <v>424</v>
      </c>
      <c r="C5" s="1358"/>
      <c r="D5" s="1358"/>
      <c r="E5" s="1358"/>
      <c r="F5" s="1358"/>
      <c r="G5" s="1358"/>
      <c r="H5" s="1358"/>
    </row>
    <row r="6" spans="2:18" ht="22.8">
      <c r="B6" s="1358" t="str">
        <f>"TRIAL  BALANCE - "&amp;UPPER('KEY INPUTS'!D56)&amp;"  UTILITY  FUND"</f>
        <v>TRIAL  BALANCE -   UTILITY  FUND</v>
      </c>
      <c r="C6" s="1358"/>
      <c r="D6" s="1358"/>
      <c r="E6" s="1358"/>
      <c r="F6" s="1358"/>
      <c r="G6" s="1358"/>
      <c r="H6" s="1358"/>
    </row>
    <row r="7" spans="2:18" ht="15.6">
      <c r="B7" s="1359" t="str">
        <f>IF('KEY INPUTS'!C42 = "State Fiscal Year", 'KEY INPUTS'!F45,'KEY INPUTS'!D45)</f>
        <v>AS  AT  DECEMBER  31, 2024</v>
      </c>
      <c r="C7" s="1360"/>
      <c r="D7" s="1360"/>
      <c r="E7" s="1360"/>
      <c r="F7" s="1360"/>
      <c r="G7" s="1360"/>
      <c r="H7" s="1360"/>
    </row>
    <row r="8" spans="2:18" ht="15.6">
      <c r="B8" s="1354" t="s">
        <v>450</v>
      </c>
      <c r="C8" s="1354"/>
      <c r="D8" s="1354"/>
      <c r="E8" s="1354"/>
      <c r="F8" s="1354"/>
      <c r="G8" s="1354"/>
      <c r="H8" s="1354"/>
    </row>
    <row r="9" spans="2:18">
      <c r="B9" s="1355" t="s">
        <v>70</v>
      </c>
      <c r="C9" s="1355"/>
      <c r="D9" s="1355"/>
      <c r="E9" s="1355"/>
      <c r="F9" s="1355"/>
      <c r="G9" s="1355"/>
      <c r="H9" s="1355"/>
    </row>
    <row r="10" spans="2:18" ht="15" customHeight="1" thickBot="1">
      <c r="B10" s="1356" t="s">
        <v>71</v>
      </c>
      <c r="C10" s="1356"/>
      <c r="D10" s="1356"/>
      <c r="E10" s="1356"/>
      <c r="F10" s="1356"/>
      <c r="G10" s="1356"/>
      <c r="H10" s="1356"/>
    </row>
    <row r="11" spans="2:18" ht="36" customHeight="1" thickTop="1" thickBot="1">
      <c r="B11" s="1350" t="s">
        <v>95</v>
      </c>
      <c r="C11" s="1350"/>
      <c r="D11" s="1350"/>
      <c r="E11" s="1350"/>
      <c r="F11" s="1351"/>
      <c r="G11" s="304" t="s">
        <v>96</v>
      </c>
      <c r="H11" s="308" t="s">
        <v>97</v>
      </c>
      <c r="L11"/>
      <c r="M11"/>
      <c r="N11"/>
      <c r="O11"/>
      <c r="P11"/>
      <c r="Q11"/>
      <c r="R11"/>
    </row>
    <row r="12" spans="2:18" ht="21" customHeight="1" thickTop="1">
      <c r="G12" s="775"/>
      <c r="H12" s="776"/>
      <c r="L12"/>
      <c r="M12"/>
      <c r="N12"/>
      <c r="O12"/>
      <c r="P12"/>
      <c r="Q12"/>
      <c r="R12"/>
    </row>
    <row r="13" spans="2:18" ht="21" customHeight="1">
      <c r="B13" s="248" t="s">
        <v>194</v>
      </c>
      <c r="C13" s="248"/>
      <c r="D13" s="248"/>
      <c r="E13" s="248"/>
      <c r="F13" s="248"/>
      <c r="G13" s="450"/>
      <c r="H13" s="457"/>
      <c r="J13" s="573"/>
      <c r="L13" s="294"/>
      <c r="M13"/>
      <c r="N13"/>
      <c r="O13"/>
      <c r="P13"/>
      <c r="Q13"/>
      <c r="R13"/>
    </row>
    <row r="14" spans="2:18" ht="21" customHeight="1">
      <c r="B14" s="495" t="s">
        <v>315</v>
      </c>
      <c r="C14" s="495"/>
      <c r="D14" s="495"/>
      <c r="E14" s="495"/>
      <c r="F14" s="499"/>
      <c r="G14" s="450"/>
      <c r="H14" s="457"/>
      <c r="J14" s="573"/>
      <c r="L14"/>
      <c r="M14"/>
      <c r="N14"/>
      <c r="O14"/>
      <c r="P14"/>
      <c r="Q14"/>
      <c r="R14"/>
    </row>
    <row r="15" spans="2:18" ht="21" customHeight="1">
      <c r="B15" s="496"/>
      <c r="C15" s="496"/>
      <c r="D15" s="496"/>
      <c r="E15" s="496"/>
      <c r="F15" s="496"/>
      <c r="G15" s="450"/>
      <c r="H15" s="457"/>
      <c r="L15"/>
      <c r="M15"/>
      <c r="N15"/>
      <c r="O15"/>
      <c r="P15"/>
      <c r="Q15"/>
      <c r="R15"/>
    </row>
    <row r="16" spans="2:18" ht="21" customHeight="1">
      <c r="B16" s="495" t="s">
        <v>3213</v>
      </c>
      <c r="C16" s="495"/>
      <c r="D16" s="495"/>
      <c r="E16" s="495"/>
      <c r="F16" s="495"/>
      <c r="G16" s="772"/>
      <c r="H16" s="772"/>
      <c r="L16"/>
      <c r="M16"/>
      <c r="N16"/>
      <c r="O16"/>
      <c r="P16"/>
      <c r="Q16"/>
      <c r="R16"/>
    </row>
    <row r="17" spans="2:18" ht="21" customHeight="1">
      <c r="B17" s="495" t="s">
        <v>3213</v>
      </c>
      <c r="C17" s="495"/>
      <c r="D17" s="495"/>
      <c r="E17" s="495"/>
      <c r="F17" s="495"/>
      <c r="G17" s="772"/>
      <c r="H17" s="772"/>
      <c r="L17"/>
      <c r="M17"/>
      <c r="N17"/>
      <c r="O17"/>
      <c r="P17"/>
      <c r="Q17"/>
      <c r="R17"/>
    </row>
    <row r="18" spans="2:18" ht="21" customHeight="1">
      <c r="B18" s="495"/>
      <c r="C18" s="495"/>
      <c r="D18" s="495"/>
      <c r="E18" s="495"/>
      <c r="F18" s="495"/>
      <c r="G18" s="772"/>
      <c r="H18" s="772"/>
      <c r="L18"/>
      <c r="M18"/>
      <c r="N18"/>
      <c r="O18"/>
      <c r="P18"/>
      <c r="Q18"/>
      <c r="R18"/>
    </row>
    <row r="19" spans="2:18" ht="21" customHeight="1">
      <c r="B19" s="385" t="s">
        <v>3202</v>
      </c>
      <c r="G19" s="777"/>
      <c r="H19" s="376"/>
      <c r="L19"/>
      <c r="M19"/>
      <c r="N19"/>
      <c r="O19"/>
      <c r="P19"/>
      <c r="Q19"/>
      <c r="R19"/>
    </row>
    <row r="20" spans="2:18" ht="21" customHeight="1">
      <c r="B20" s="248" t="s">
        <v>3203</v>
      </c>
      <c r="C20" s="248"/>
      <c r="D20" s="248"/>
      <c r="E20" s="248"/>
      <c r="F20" s="248"/>
      <c r="G20" s="778">
        <f>+'47-Utility3'!L24</f>
        <v>0</v>
      </c>
      <c r="H20" s="779"/>
      <c r="L20"/>
      <c r="M20"/>
      <c r="N20"/>
      <c r="O20"/>
      <c r="P20"/>
      <c r="Q20"/>
      <c r="R20"/>
    </row>
    <row r="21" spans="2:18" ht="21" customHeight="1">
      <c r="B21" s="248" t="s">
        <v>3204</v>
      </c>
      <c r="C21" s="248"/>
      <c r="D21" s="248"/>
      <c r="E21" s="248"/>
      <c r="F21" s="248"/>
      <c r="G21" s="533">
        <f>+'47-Utility3'!L54</f>
        <v>0</v>
      </c>
      <c r="L21"/>
      <c r="M21"/>
      <c r="N21"/>
      <c r="O21"/>
      <c r="P21"/>
      <c r="Q21"/>
      <c r="R21"/>
    </row>
    <row r="22" spans="2:18" ht="21" customHeight="1">
      <c r="B22" s="495"/>
      <c r="C22" s="495"/>
      <c r="D22" s="495"/>
      <c r="E22" s="495"/>
      <c r="F22" s="495"/>
      <c r="G22" s="450"/>
      <c r="H22" s="457"/>
      <c r="L22"/>
      <c r="M22"/>
      <c r="N22"/>
      <c r="O22"/>
      <c r="P22"/>
      <c r="Q22"/>
      <c r="R22"/>
    </row>
    <row r="23" spans="2:18" ht="21" customHeight="1">
      <c r="B23" s="495"/>
      <c r="C23" s="495"/>
      <c r="D23" s="495"/>
      <c r="E23" s="495"/>
      <c r="F23" s="495"/>
      <c r="G23" s="450"/>
      <c r="H23" s="457"/>
      <c r="J23" s="573"/>
      <c r="L23"/>
      <c r="M23"/>
      <c r="N23"/>
      <c r="O23"/>
      <c r="P23"/>
      <c r="Q23"/>
      <c r="R23"/>
    </row>
    <row r="24" spans="2:18" ht="21" customHeight="1">
      <c r="B24" s="495"/>
      <c r="C24" s="495"/>
      <c r="D24" s="495"/>
      <c r="E24" s="495"/>
      <c r="F24" s="495"/>
      <c r="G24" s="450"/>
      <c r="H24" s="457"/>
      <c r="J24" s="573"/>
      <c r="L24"/>
      <c r="M24"/>
      <c r="N24"/>
      <c r="O24"/>
      <c r="P24"/>
      <c r="Q24"/>
      <c r="R24"/>
    </row>
    <row r="25" spans="2:18" ht="21" customHeight="1">
      <c r="B25" s="495"/>
      <c r="C25" s="495"/>
      <c r="D25" s="495"/>
      <c r="E25" s="495"/>
      <c r="F25" s="495"/>
      <c r="G25" s="450"/>
      <c r="H25" s="457"/>
      <c r="L25"/>
      <c r="M25"/>
      <c r="N25"/>
      <c r="O25"/>
      <c r="P25"/>
      <c r="Q25"/>
      <c r="R25"/>
    </row>
    <row r="26" spans="2:18" ht="21" customHeight="1">
      <c r="B26" s="248" t="s">
        <v>3205</v>
      </c>
      <c r="C26" s="248"/>
      <c r="D26" s="248"/>
      <c r="E26" s="248"/>
      <c r="F26" s="248"/>
      <c r="G26" s="533"/>
      <c r="H26" s="780"/>
      <c r="L26"/>
      <c r="M26"/>
      <c r="N26"/>
      <c r="O26"/>
      <c r="P26"/>
      <c r="Q26"/>
      <c r="R26"/>
    </row>
    <row r="27" spans="2:18" ht="21" customHeight="1">
      <c r="B27" s="495"/>
      <c r="C27" s="495"/>
      <c r="D27" s="495"/>
      <c r="E27" s="495"/>
      <c r="F27" s="495"/>
      <c r="G27" s="450"/>
      <c r="H27" s="457"/>
      <c r="L27"/>
      <c r="M27"/>
      <c r="N27"/>
      <c r="O27"/>
      <c r="P27"/>
      <c r="Q27"/>
      <c r="R27"/>
    </row>
    <row r="28" spans="2:18" ht="21" customHeight="1">
      <c r="B28" s="495"/>
      <c r="C28" s="495"/>
      <c r="D28" s="495"/>
      <c r="E28" s="495"/>
      <c r="F28" s="495"/>
      <c r="G28" s="450"/>
      <c r="H28" s="457"/>
    </row>
    <row r="29" spans="2:18" ht="21" customHeight="1">
      <c r="B29" s="495"/>
      <c r="C29" s="495"/>
      <c r="D29" s="495"/>
      <c r="E29" s="495"/>
      <c r="F29" s="495"/>
      <c r="G29" s="450"/>
      <c r="H29" s="457"/>
    </row>
    <row r="30" spans="2:18" ht="21" customHeight="1">
      <c r="B30" s="307" t="s">
        <v>3206</v>
      </c>
      <c r="C30" s="248"/>
      <c r="D30" s="248"/>
      <c r="E30" s="248"/>
      <c r="F30" s="248"/>
      <c r="G30" s="533"/>
      <c r="H30" s="780"/>
    </row>
    <row r="31" spans="2:18" ht="21" customHeight="1">
      <c r="B31" s="248" t="s">
        <v>3135</v>
      </c>
      <c r="C31" s="248"/>
      <c r="D31" s="248"/>
      <c r="E31" s="248"/>
      <c r="F31" s="248"/>
      <c r="G31" s="450"/>
      <c r="H31" s="780">
        <f>+'44-Utility3'!I37</f>
        <v>0</v>
      </c>
      <c r="J31" s="573"/>
    </row>
    <row r="32" spans="2:18" ht="21" customHeight="1">
      <c r="B32" s="248" t="s">
        <v>3134</v>
      </c>
      <c r="C32" s="248"/>
      <c r="D32" s="248"/>
      <c r="E32" s="248"/>
      <c r="F32" s="248"/>
      <c r="G32" s="450"/>
      <c r="H32" s="457"/>
    </row>
    <row r="33" spans="2:18" ht="21" customHeight="1">
      <c r="B33" s="248" t="s">
        <v>3133</v>
      </c>
      <c r="C33" s="248"/>
      <c r="D33" s="248"/>
      <c r="E33" s="248"/>
      <c r="F33" s="248"/>
      <c r="G33" s="450"/>
      <c r="H33" s="781">
        <f>+'49-Utility3'!I29+'49a-Utility3'!I29+'50.1-Utility3'!M24+'49a.1-Utility3'!I29</f>
        <v>0</v>
      </c>
      <c r="J33" s="573"/>
    </row>
    <row r="34" spans="2:18" ht="21" customHeight="1">
      <c r="B34" s="495" t="s">
        <v>3214</v>
      </c>
      <c r="C34" s="495"/>
      <c r="D34" s="495"/>
      <c r="E34" s="495"/>
      <c r="F34" s="499"/>
      <c r="G34" s="450"/>
      <c r="H34" s="457"/>
    </row>
    <row r="35" spans="2:18" ht="21" customHeight="1">
      <c r="B35" s="495"/>
      <c r="C35" s="495"/>
      <c r="D35" s="495"/>
      <c r="E35" s="495"/>
      <c r="F35" s="495"/>
      <c r="G35" s="450"/>
      <c r="H35" s="457"/>
      <c r="L35"/>
      <c r="M35"/>
      <c r="N35"/>
      <c r="O35"/>
      <c r="P35"/>
      <c r="Q35"/>
      <c r="R35"/>
    </row>
    <row r="36" spans="2:18" ht="21" customHeight="1">
      <c r="B36" s="495"/>
      <c r="C36" s="495"/>
      <c r="D36" s="495"/>
      <c r="E36" s="495"/>
      <c r="F36" s="495"/>
      <c r="G36" s="450"/>
      <c r="H36" s="457"/>
      <c r="J36" s="573"/>
      <c r="L36"/>
      <c r="M36"/>
      <c r="N36"/>
      <c r="O36"/>
      <c r="P36"/>
      <c r="Q36"/>
      <c r="R36"/>
    </row>
    <row r="37" spans="2:18" ht="21" customHeight="1">
      <c r="B37" s="495"/>
      <c r="C37" s="495"/>
      <c r="D37" s="495"/>
      <c r="E37" s="495"/>
      <c r="F37" s="495"/>
      <c r="G37" s="450"/>
      <c r="H37" s="457"/>
      <c r="J37" s="573"/>
      <c r="L37"/>
      <c r="M37"/>
      <c r="N37"/>
      <c r="O37"/>
      <c r="P37"/>
      <c r="Q37"/>
      <c r="R37"/>
    </row>
    <row r="38" spans="2:18" ht="21" customHeight="1" thickBot="1">
      <c r="B38" s="495"/>
      <c r="C38" s="495"/>
      <c r="D38" s="495"/>
      <c r="E38" s="495"/>
      <c r="F38" s="495"/>
      <c r="G38" s="450"/>
      <c r="H38" s="481"/>
      <c r="L38"/>
      <c r="M38"/>
      <c r="N38"/>
      <c r="O38"/>
      <c r="P38"/>
      <c r="Q38"/>
      <c r="R38"/>
    </row>
    <row r="39" spans="2:18" ht="21" customHeight="1" thickTop="1">
      <c r="B39" s="248"/>
      <c r="C39" s="248" t="s">
        <v>3132</v>
      </c>
      <c r="D39" s="248"/>
      <c r="E39" s="248"/>
      <c r="F39" s="871"/>
      <c r="G39" s="872"/>
      <c r="H39" s="834">
        <f>SUM(H30:H38)</f>
        <v>0</v>
      </c>
      <c r="I39" s="267" t="s">
        <v>795</v>
      </c>
    </row>
    <row r="40" spans="2:18" ht="21" customHeight="1">
      <c r="B40" s="333" t="s">
        <v>3215</v>
      </c>
      <c r="C40" s="333"/>
      <c r="D40" s="333"/>
      <c r="E40" s="333"/>
      <c r="F40" s="333"/>
      <c r="G40" s="779"/>
      <c r="H40" s="479"/>
    </row>
    <row r="41" spans="2:18" ht="21" customHeight="1">
      <c r="B41" s="495"/>
      <c r="C41" s="495"/>
      <c r="D41" s="495"/>
      <c r="E41" s="495"/>
      <c r="F41" s="495"/>
      <c r="G41" s="450"/>
      <c r="H41" s="457"/>
    </row>
    <row r="42" spans="2:18" ht="21" customHeight="1">
      <c r="B42" s="248" t="s">
        <v>617</v>
      </c>
      <c r="C42" s="248"/>
      <c r="D42" s="248"/>
      <c r="E42" s="248"/>
      <c r="F42" s="248"/>
      <c r="G42" s="533"/>
      <c r="H42" s="780">
        <f>+'46-Utility3'!K27</f>
        <v>0</v>
      </c>
    </row>
    <row r="43" spans="2:18" ht="21" customHeight="1" thickBot="1">
      <c r="B43" s="248"/>
      <c r="C43" s="248"/>
      <c r="D43" s="248"/>
      <c r="E43" s="248"/>
      <c r="F43" s="248"/>
      <c r="G43" s="783"/>
      <c r="H43" s="784"/>
    </row>
    <row r="44" spans="2:18" ht="21" customHeight="1" thickBot="1">
      <c r="B44" s="248" t="s">
        <v>3216</v>
      </c>
      <c r="C44" s="248"/>
      <c r="D44" s="248"/>
      <c r="E44" s="248"/>
      <c r="F44" s="248"/>
      <c r="G44" s="785">
        <f>SUM(G12:G43)</f>
        <v>0</v>
      </c>
      <c r="H44" s="786">
        <f>SUM(H39:H43)</f>
        <v>0</v>
      </c>
      <c r="J44" s="301">
        <f>G44-H44</f>
        <v>0</v>
      </c>
    </row>
    <row r="45" spans="2:18" ht="13.8" thickTop="1">
      <c r="B45" s="1352" t="s">
        <v>98</v>
      </c>
      <c r="C45" s="1352"/>
      <c r="D45" s="1352"/>
      <c r="E45" s="1352"/>
      <c r="F45" s="1352"/>
      <c r="G45" s="1352"/>
      <c r="H45" s="1352"/>
    </row>
    <row r="46" spans="2:18">
      <c r="B46" s="302"/>
      <c r="C46" s="302"/>
      <c r="D46" s="302"/>
      <c r="E46" s="302"/>
      <c r="F46" s="302"/>
      <c r="G46" s="302"/>
      <c r="H46" s="302"/>
    </row>
    <row r="47" spans="2:18">
      <c r="B47" s="302"/>
      <c r="C47" s="302"/>
      <c r="D47" s="302"/>
      <c r="E47" s="302"/>
      <c r="F47" s="302"/>
      <c r="G47" s="302"/>
      <c r="H47" s="302"/>
    </row>
    <row r="48" spans="2:18">
      <c r="B48" s="302"/>
      <c r="C48" s="302"/>
      <c r="D48" s="302"/>
      <c r="E48" s="302"/>
      <c r="F48" s="302"/>
      <c r="G48" s="302"/>
      <c r="H48" s="302"/>
    </row>
    <row r="49" spans="2:8">
      <c r="B49" s="302"/>
      <c r="C49" s="302"/>
      <c r="D49" s="302"/>
      <c r="E49" s="302"/>
      <c r="F49" s="302"/>
      <c r="G49" s="302"/>
      <c r="H49" s="302"/>
    </row>
    <row r="50" spans="2:8" ht="13.8">
      <c r="B50" s="1353" t="s">
        <v>3130</v>
      </c>
      <c r="C50" s="1353"/>
      <c r="D50" s="1353"/>
      <c r="E50" s="1353"/>
      <c r="F50" s="1353"/>
      <c r="G50" s="1353"/>
      <c r="H50" s="1353"/>
    </row>
    <row r="54" spans="2:8">
      <c r="H54" s="301"/>
    </row>
    <row r="57" spans="2:8">
      <c r="H57" s="301">
        <f>+H44-G44</f>
        <v>0</v>
      </c>
    </row>
  </sheetData>
  <sheetProtection algorithmName="SHA-512" hashValue="hUWbdmH9usZKvcYtZG/zTalijk6rf7yYfHTTheIDOw4nHp+CV+o8NcWyUKDE3d/nYjp2hRb8xoBAeTDGaB9WgQ==" saltValue="tGa93WXfF38GWxfXEZ/LiA=="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483FD-E3B7-4E19-B2DC-2D93D32CA2FE}">
  <sheetPr codeName="Sheet202">
    <tabColor theme="5" tint="0.59999389629810485"/>
  </sheetPr>
  <dimension ref="B2:Q55"/>
  <sheetViews>
    <sheetView zoomScaleNormal="100" zoomScaleSheetLayoutView="80" workbookViewId="0">
      <selection activeCell="B8" sqref="B8:H8"/>
    </sheetView>
  </sheetViews>
  <sheetFormatPr defaultColWidth="8.88671875" defaultRowHeight="13.2"/>
  <cols>
    <col min="1" max="1" width="4.6640625" style="267" customWidth="1"/>
    <col min="2" max="2" width="4.88671875" style="267" customWidth="1"/>
    <col min="3" max="4" width="4.6640625" style="267" customWidth="1"/>
    <col min="5" max="5" width="34.33203125" style="267" customWidth="1"/>
    <col min="6" max="6" width="15.6640625" style="267" customWidth="1"/>
    <col min="7" max="8" width="16.6640625" style="267" customWidth="1"/>
    <col min="9" max="9" width="10.88671875" style="267" bestFit="1" customWidth="1"/>
    <col min="10" max="10" width="8.88671875" style="267"/>
    <col min="11" max="11" width="10.33203125" style="267" bestFit="1" customWidth="1"/>
    <col min="12" max="12" width="8.88671875" style="267"/>
    <col min="13" max="13" width="13.88671875" style="267" bestFit="1" customWidth="1"/>
    <col min="14" max="16384" width="8.88671875" style="267"/>
  </cols>
  <sheetData>
    <row r="2" spans="2:17">
      <c r="B2" s="1357" t="s">
        <v>35</v>
      </c>
      <c r="C2" s="1357"/>
      <c r="D2" s="1357"/>
      <c r="E2" s="1357"/>
      <c r="F2" s="1357"/>
      <c r="G2" s="1357"/>
      <c r="H2" s="1357"/>
    </row>
    <row r="3" spans="2:17">
      <c r="B3" s="1357" t="s">
        <v>449</v>
      </c>
      <c r="C3" s="1357"/>
      <c r="D3" s="1357"/>
      <c r="E3" s="1357"/>
      <c r="F3" s="1357"/>
      <c r="G3" s="1357"/>
      <c r="H3" s="1357"/>
    </row>
    <row r="5" spans="2:17" ht="22.8">
      <c r="B5" s="1358" t="s">
        <v>424</v>
      </c>
      <c r="C5" s="1358"/>
      <c r="D5" s="1358"/>
      <c r="E5" s="1358"/>
      <c r="F5" s="1358"/>
      <c r="G5" s="1358"/>
      <c r="H5" s="1358"/>
    </row>
    <row r="6" spans="2:17" ht="22.8">
      <c r="B6" s="1358" t="str">
        <f>"TRIAL  BALANCE - "&amp;UPPER('KEY INPUTS'!D56)&amp;"  UTILITY  FUND (cont'd)"</f>
        <v>TRIAL  BALANCE -   UTILITY  FUND (cont'd)</v>
      </c>
      <c r="C6" s="1358"/>
      <c r="D6" s="1358"/>
      <c r="E6" s="1358"/>
      <c r="F6" s="1358"/>
      <c r="G6" s="1358"/>
      <c r="H6" s="1358"/>
    </row>
    <row r="7" spans="2:17" ht="15.6">
      <c r="B7" s="1359" t="str">
        <f>IF('KEY INPUTS'!C42 = "State Fiscal Year", 'KEY INPUTS'!F45,'KEY INPUTS'!D45)</f>
        <v>AS  AT  DECEMBER  31, 2024</v>
      </c>
      <c r="C7" s="1360"/>
      <c r="D7" s="1360"/>
      <c r="E7" s="1360"/>
      <c r="F7" s="1360"/>
      <c r="G7" s="1360"/>
      <c r="H7" s="1360"/>
    </row>
    <row r="8" spans="2:17" ht="15.6">
      <c r="B8" s="1354" t="s">
        <v>450</v>
      </c>
      <c r="C8" s="1354"/>
      <c r="D8" s="1354"/>
      <c r="E8" s="1354"/>
      <c r="F8" s="1354"/>
      <c r="G8" s="1354"/>
      <c r="H8" s="1354"/>
    </row>
    <row r="9" spans="2:17">
      <c r="B9" s="1355" t="s">
        <v>70</v>
      </c>
      <c r="C9" s="1355"/>
      <c r="D9" s="1355"/>
      <c r="E9" s="1355"/>
      <c r="F9" s="1355"/>
      <c r="G9" s="1355"/>
      <c r="H9" s="1355"/>
    </row>
    <row r="10" spans="2:17" ht="15" customHeight="1" thickBot="1">
      <c r="B10" s="1356" t="s">
        <v>71</v>
      </c>
      <c r="C10" s="1356"/>
      <c r="D10" s="1356"/>
      <c r="E10" s="1356"/>
      <c r="F10" s="1356"/>
      <c r="G10" s="1356"/>
      <c r="H10" s="1356"/>
    </row>
    <row r="11" spans="2:17" ht="36" customHeight="1" thickTop="1" thickBot="1">
      <c r="B11" s="1350" t="s">
        <v>95</v>
      </c>
      <c r="C11" s="1350"/>
      <c r="D11" s="1350"/>
      <c r="E11" s="1350"/>
      <c r="F11" s="1351"/>
      <c r="G11" s="304" t="s">
        <v>96</v>
      </c>
      <c r="H11" s="308" t="s">
        <v>97</v>
      </c>
    </row>
    <row r="12" spans="2:17" ht="21" customHeight="1" thickTop="1">
      <c r="G12" s="775"/>
      <c r="H12" s="776"/>
    </row>
    <row r="13" spans="2:17" ht="21" customHeight="1">
      <c r="B13" s="307" t="s">
        <v>642</v>
      </c>
      <c r="C13" s="248"/>
      <c r="D13" s="248"/>
      <c r="E13" s="248"/>
      <c r="F13" s="248"/>
      <c r="G13" s="533"/>
      <c r="H13" s="780"/>
      <c r="K13"/>
      <c r="L13"/>
      <c r="M13"/>
      <c r="N13"/>
      <c r="O13"/>
      <c r="P13"/>
      <c r="Q13"/>
    </row>
    <row r="14" spans="2:17" ht="21" customHeight="1">
      <c r="B14" s="248"/>
      <c r="C14" s="248"/>
      <c r="D14" s="248"/>
      <c r="E14" s="248"/>
      <c r="F14" s="248"/>
      <c r="G14" s="533"/>
      <c r="H14" s="780"/>
      <c r="K14"/>
      <c r="L14"/>
      <c r="M14"/>
      <c r="N14"/>
      <c r="O14"/>
      <c r="P14"/>
      <c r="Q14"/>
    </row>
    <row r="15" spans="2:17" ht="21" customHeight="1">
      <c r="B15" s="267" t="s">
        <v>192</v>
      </c>
      <c r="C15" s="248"/>
      <c r="D15" s="248"/>
      <c r="E15" s="248"/>
      <c r="F15" s="248"/>
      <c r="G15" s="289"/>
      <c r="H15" s="885" t="s">
        <v>627</v>
      </c>
      <c r="K15" s="294"/>
      <c r="L15"/>
      <c r="M15"/>
      <c r="N15"/>
      <c r="O15"/>
      <c r="P15"/>
      <c r="Q15"/>
    </row>
    <row r="16" spans="2:17" ht="21" customHeight="1">
      <c r="B16" s="248" t="s">
        <v>193</v>
      </c>
      <c r="C16" s="248"/>
      <c r="D16" s="248"/>
      <c r="E16" s="248"/>
      <c r="F16" s="248"/>
      <c r="G16" s="804" t="s">
        <v>627</v>
      </c>
      <c r="H16" s="668">
        <f>+G15</f>
        <v>0</v>
      </c>
      <c r="K16"/>
      <c r="L16"/>
      <c r="M16"/>
      <c r="N16"/>
      <c r="O16"/>
      <c r="P16"/>
      <c r="Q16"/>
    </row>
    <row r="17" spans="2:17" ht="21" customHeight="1">
      <c r="B17" s="248"/>
      <c r="C17" s="248"/>
      <c r="D17" s="248"/>
      <c r="E17" s="248"/>
      <c r="F17" s="248"/>
      <c r="G17" s="663"/>
      <c r="H17" s="668"/>
      <c r="K17"/>
      <c r="L17"/>
      <c r="M17"/>
      <c r="N17"/>
      <c r="O17"/>
      <c r="P17"/>
      <c r="Q17"/>
    </row>
    <row r="18" spans="2:17" ht="21" customHeight="1">
      <c r="B18" s="248"/>
      <c r="C18" s="248" t="s">
        <v>351</v>
      </c>
      <c r="D18" s="248"/>
      <c r="E18" s="248"/>
      <c r="F18" s="248"/>
      <c r="G18" s="289"/>
      <c r="H18" s="419"/>
      <c r="K18"/>
      <c r="L18"/>
      <c r="M18"/>
      <c r="N18"/>
      <c r="O18"/>
      <c r="P18"/>
      <c r="Q18"/>
    </row>
    <row r="19" spans="2:17" ht="21" customHeight="1">
      <c r="B19" s="248"/>
      <c r="C19" s="495"/>
      <c r="D19" s="495"/>
      <c r="E19" s="495"/>
      <c r="F19" s="495"/>
      <c r="G19" s="289"/>
      <c r="H19" s="419"/>
      <c r="K19"/>
      <c r="L19"/>
      <c r="M19"/>
      <c r="N19"/>
      <c r="O19"/>
      <c r="P19"/>
      <c r="Q19"/>
    </row>
    <row r="20" spans="2:17" ht="21" customHeight="1">
      <c r="B20" s="248"/>
      <c r="C20" s="248" t="s">
        <v>888</v>
      </c>
      <c r="D20" s="248"/>
      <c r="E20" s="248"/>
      <c r="F20" s="248"/>
      <c r="G20" s="289"/>
      <c r="H20" s="419"/>
      <c r="K20"/>
      <c r="L20"/>
      <c r="M20"/>
      <c r="N20"/>
      <c r="O20"/>
      <c r="P20"/>
      <c r="Q20"/>
    </row>
    <row r="21" spans="2:17" ht="21" customHeight="1">
      <c r="B21" s="248"/>
      <c r="C21" s="248" t="s">
        <v>643</v>
      </c>
      <c r="D21" s="248"/>
      <c r="E21" s="248"/>
      <c r="F21" s="248"/>
      <c r="G21" s="663"/>
      <c r="H21" s="664"/>
      <c r="K21"/>
      <c r="L21"/>
      <c r="M21"/>
      <c r="N21"/>
      <c r="O21"/>
      <c r="P21"/>
      <c r="Q21"/>
    </row>
    <row r="22" spans="2:17" ht="21" customHeight="1">
      <c r="B22" s="248"/>
      <c r="C22" s="248"/>
      <c r="D22" s="248" t="s">
        <v>87</v>
      </c>
      <c r="E22" s="248"/>
      <c r="F22" s="248"/>
      <c r="G22" s="289"/>
      <c r="H22" s="419"/>
      <c r="K22"/>
      <c r="L22"/>
      <c r="M22"/>
      <c r="N22"/>
      <c r="O22"/>
      <c r="P22"/>
      <c r="Q22"/>
    </row>
    <row r="23" spans="2:17" ht="21" customHeight="1">
      <c r="B23" s="248"/>
      <c r="C23" s="248"/>
      <c r="D23" s="248" t="s">
        <v>671</v>
      </c>
      <c r="E23" s="248"/>
      <c r="F23" s="248"/>
      <c r="G23" s="289"/>
      <c r="H23" s="419"/>
      <c r="K23"/>
      <c r="L23"/>
      <c r="M23"/>
      <c r="N23"/>
      <c r="O23"/>
      <c r="P23"/>
      <c r="Q23"/>
    </row>
    <row r="24" spans="2:17" ht="21" customHeight="1">
      <c r="B24" s="248"/>
      <c r="C24" s="495"/>
      <c r="D24" s="495" t="s">
        <v>3131</v>
      </c>
      <c r="E24" s="495"/>
      <c r="F24" s="495"/>
      <c r="G24" s="289"/>
      <c r="H24" s="438"/>
      <c r="K24"/>
      <c r="L24"/>
      <c r="M24"/>
      <c r="N24"/>
      <c r="O24"/>
      <c r="P24"/>
      <c r="Q24"/>
    </row>
    <row r="25" spans="2:17" ht="21" customHeight="1">
      <c r="B25" s="248"/>
      <c r="C25" s="495"/>
      <c r="D25" s="495" t="s">
        <v>3131</v>
      </c>
      <c r="E25" s="495"/>
      <c r="F25" s="495"/>
      <c r="G25" s="289"/>
      <c r="H25" s="438" t="s">
        <v>3131</v>
      </c>
    </row>
    <row r="26" spans="2:17" ht="21" customHeight="1">
      <c r="B26" s="248"/>
      <c r="C26" s="496"/>
      <c r="D26" s="495"/>
      <c r="E26" s="495"/>
      <c r="F26" s="495"/>
      <c r="G26" s="289"/>
      <c r="H26" s="498"/>
    </row>
    <row r="27" spans="2:17" ht="21" customHeight="1">
      <c r="B27" s="248"/>
      <c r="C27" s="495" t="s">
        <v>3131</v>
      </c>
      <c r="D27" s="495"/>
      <c r="E27" s="495"/>
      <c r="F27" s="495"/>
      <c r="G27" s="289"/>
      <c r="H27" s="438" t="s">
        <v>3131</v>
      </c>
    </row>
    <row r="28" spans="2:17" ht="21" customHeight="1">
      <c r="B28" s="248"/>
      <c r="C28" s="495"/>
      <c r="D28" s="495"/>
      <c r="E28" s="495"/>
      <c r="F28" s="495"/>
      <c r="G28" s="289"/>
      <c r="H28" s="438"/>
    </row>
    <row r="29" spans="2:17" ht="21" customHeight="1">
      <c r="B29" s="248"/>
      <c r="C29" s="495"/>
      <c r="D29" s="495" t="s">
        <v>3131</v>
      </c>
      <c r="E29" s="495"/>
      <c r="F29" s="495"/>
      <c r="G29" s="289"/>
      <c r="H29" s="438"/>
      <c r="K29"/>
      <c r="L29"/>
      <c r="M29"/>
      <c r="N29"/>
      <c r="O29"/>
      <c r="P29"/>
      <c r="Q29"/>
    </row>
    <row r="30" spans="2:17" ht="21" customHeight="1">
      <c r="B30" s="248"/>
      <c r="C30" s="495"/>
      <c r="D30" s="495" t="s">
        <v>3131</v>
      </c>
      <c r="E30" s="495"/>
      <c r="F30" s="495"/>
      <c r="G30" s="289"/>
      <c r="H30" s="438"/>
      <c r="K30"/>
      <c r="L30"/>
      <c r="M30"/>
      <c r="N30"/>
      <c r="O30"/>
      <c r="P30"/>
      <c r="Q30"/>
    </row>
    <row r="31" spans="2:17" ht="21" customHeight="1">
      <c r="B31" s="248"/>
      <c r="C31" s="495"/>
      <c r="D31" s="495" t="s">
        <v>3131</v>
      </c>
      <c r="E31" s="495"/>
      <c r="F31" s="495"/>
      <c r="G31" s="289"/>
      <c r="H31" s="438" t="s">
        <v>3131</v>
      </c>
    </row>
    <row r="32" spans="2:17" ht="21" customHeight="1">
      <c r="B32" s="248"/>
      <c r="C32" s="496"/>
      <c r="D32" s="495"/>
      <c r="E32" s="495"/>
      <c r="F32" s="495"/>
      <c r="G32" s="289"/>
      <c r="H32" s="498"/>
    </row>
    <row r="33" spans="2:17" ht="21" customHeight="1">
      <c r="B33" s="248"/>
      <c r="C33" s="495" t="s">
        <v>3131</v>
      </c>
      <c r="D33" s="495"/>
      <c r="E33" s="495"/>
      <c r="F33" s="495"/>
      <c r="G33" s="289"/>
      <c r="H33" s="438" t="s">
        <v>3131</v>
      </c>
    </row>
    <row r="34" spans="2:17" ht="21" customHeight="1">
      <c r="B34" s="248"/>
      <c r="C34" s="495"/>
      <c r="D34" s="495"/>
      <c r="E34" s="495"/>
      <c r="F34" s="495"/>
      <c r="G34" s="289"/>
      <c r="H34" s="438"/>
    </row>
    <row r="35" spans="2:17" ht="21" customHeight="1">
      <c r="B35" s="248"/>
      <c r="C35" s="495"/>
      <c r="D35" s="495" t="s">
        <v>3131</v>
      </c>
      <c r="E35" s="495"/>
      <c r="F35" s="495"/>
      <c r="G35" s="289"/>
      <c r="H35" s="438"/>
      <c r="K35"/>
      <c r="L35"/>
      <c r="M35"/>
      <c r="N35"/>
      <c r="O35"/>
      <c r="P35"/>
      <c r="Q35"/>
    </row>
    <row r="36" spans="2:17" ht="21" customHeight="1">
      <c r="B36" s="248"/>
      <c r="C36" s="495"/>
      <c r="D36" s="495" t="s">
        <v>3131</v>
      </c>
      <c r="E36" s="495"/>
      <c r="F36" s="495"/>
      <c r="G36" s="289"/>
      <c r="H36" s="438" t="s">
        <v>3131</v>
      </c>
    </row>
    <row r="37" spans="2:17" ht="21" customHeight="1">
      <c r="B37" s="248"/>
      <c r="C37" s="496"/>
      <c r="D37" s="495"/>
      <c r="E37" s="495"/>
      <c r="F37" s="495"/>
      <c r="G37" s="289"/>
      <c r="H37" s="498"/>
    </row>
    <row r="38" spans="2:17" ht="21" customHeight="1">
      <c r="B38" s="248"/>
      <c r="C38" s="495" t="s">
        <v>3131</v>
      </c>
      <c r="D38" s="495"/>
      <c r="E38" s="495"/>
      <c r="F38" s="495"/>
      <c r="G38" s="289"/>
      <c r="H38" s="438" t="s">
        <v>3131</v>
      </c>
    </row>
    <row r="39" spans="2:17" ht="21" customHeight="1">
      <c r="B39" s="248"/>
      <c r="C39" s="495"/>
      <c r="D39" s="495"/>
      <c r="E39" s="495"/>
      <c r="F39" s="495"/>
      <c r="G39" s="289"/>
      <c r="H39" s="438"/>
    </row>
    <row r="40" spans="2:17" ht="21" customHeight="1">
      <c r="B40" s="248"/>
      <c r="C40" s="495"/>
      <c r="D40" s="495"/>
      <c r="E40" s="495"/>
      <c r="F40" s="495"/>
      <c r="G40" s="289"/>
      <c r="H40" s="438"/>
    </row>
    <row r="41" spans="2:17" ht="21" customHeight="1">
      <c r="B41" s="248"/>
      <c r="C41" s="495" t="s">
        <v>3131</v>
      </c>
      <c r="D41" s="495"/>
      <c r="E41" s="495"/>
      <c r="F41" s="495"/>
      <c r="G41" s="289"/>
      <c r="H41" s="438" t="s">
        <v>3131</v>
      </c>
    </row>
    <row r="42" spans="2:17" ht="21" customHeight="1">
      <c r="B42" s="248"/>
      <c r="C42" s="495" t="s">
        <v>3131</v>
      </c>
      <c r="D42" s="495"/>
      <c r="E42" s="495"/>
      <c r="F42" s="495"/>
      <c r="G42" s="289"/>
      <c r="H42" s="438" t="s">
        <v>3131</v>
      </c>
    </row>
    <row r="43" spans="2:17" ht="21" customHeight="1" thickBot="1">
      <c r="B43" s="248"/>
      <c r="C43" s="248"/>
      <c r="D43" s="248"/>
      <c r="E43" s="248"/>
      <c r="F43" s="248"/>
      <c r="G43" s="881"/>
      <c r="H43" s="882"/>
      <c r="I43" s="301"/>
      <c r="M43" s="301"/>
    </row>
    <row r="44" spans="2:17" ht="21" customHeight="1" thickBot="1">
      <c r="B44" s="248"/>
      <c r="C44" s="248" t="s">
        <v>3262</v>
      </c>
      <c r="D44" s="248"/>
      <c r="E44" s="248"/>
      <c r="F44" s="248"/>
      <c r="G44" s="883">
        <f>SUM(G15:G42)</f>
        <v>0</v>
      </c>
      <c r="H44" s="884">
        <f>SUM(H15:H43)</f>
        <v>0</v>
      </c>
      <c r="I44" s="301"/>
      <c r="K44" s="301"/>
    </row>
    <row r="45" spans="2:17" ht="13.8" thickTop="1">
      <c r="B45" s="1361" t="s">
        <v>98</v>
      </c>
      <c r="C45" s="1361"/>
      <c r="D45" s="1361"/>
      <c r="E45" s="1361"/>
      <c r="F45" s="1361"/>
      <c r="G45" s="1352"/>
      <c r="H45" s="1352"/>
    </row>
    <row r="46" spans="2:17">
      <c r="B46" s="302"/>
      <c r="C46" s="302"/>
      <c r="D46" s="302"/>
      <c r="E46" s="302"/>
      <c r="F46" s="302"/>
      <c r="G46" s="302"/>
      <c r="H46" s="302"/>
    </row>
    <row r="47" spans="2:17">
      <c r="B47" s="302"/>
      <c r="C47" s="302"/>
      <c r="D47" s="302"/>
      <c r="E47" s="302"/>
      <c r="F47" s="302"/>
      <c r="G47" s="302"/>
      <c r="H47" s="302"/>
    </row>
    <row r="48" spans="2:17">
      <c r="B48" s="302"/>
      <c r="C48" s="302"/>
      <c r="D48" s="302"/>
      <c r="E48" s="302"/>
      <c r="F48" s="302"/>
      <c r="G48" s="302"/>
      <c r="H48" s="302"/>
    </row>
    <row r="49" spans="2:8">
      <c r="B49" s="302"/>
      <c r="C49" s="302"/>
      <c r="D49" s="302"/>
      <c r="E49" s="302"/>
      <c r="F49" s="302"/>
      <c r="G49" s="302"/>
      <c r="H49" s="302"/>
    </row>
    <row r="50" spans="2:8" ht="13.8">
      <c r="B50" s="1353" t="s">
        <v>3136</v>
      </c>
      <c r="C50" s="1353"/>
      <c r="D50" s="1353"/>
      <c r="E50" s="1353"/>
      <c r="F50" s="1353"/>
      <c r="G50" s="1353"/>
      <c r="H50" s="1353"/>
    </row>
    <row r="55" spans="2:8">
      <c r="H55" s="301"/>
    </row>
  </sheetData>
  <sheetProtection algorithmName="SHA-512" hashValue="hozyaR1f7Qg34uXZejIOzVe3zRXRT+qFGo7M+lAzDedDSgcmT7AffXGZjyTa29QAtRsL6kh/SD21Kv/3M649IA==" saltValue="Hu4YtUJYlz00pskBLTUtZA=="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A1EA4-66FA-48EB-AADD-1FFFD728C04E}">
  <sheetPr codeName="Sheet203">
    <tabColor theme="5" tint="0.59999389629810485"/>
  </sheetPr>
  <dimension ref="B2:Q55"/>
  <sheetViews>
    <sheetView zoomScaleNormal="100" zoomScaleSheetLayoutView="80" workbookViewId="0">
      <selection activeCell="B8" sqref="B8:H8"/>
    </sheetView>
  </sheetViews>
  <sheetFormatPr defaultColWidth="8.88671875" defaultRowHeight="13.2"/>
  <cols>
    <col min="1" max="1" width="4.6640625" style="267" customWidth="1"/>
    <col min="2" max="2" width="4.88671875" style="267" customWidth="1"/>
    <col min="3" max="4" width="4.6640625" style="267" customWidth="1"/>
    <col min="5" max="5" width="34.33203125" style="267" customWidth="1"/>
    <col min="6" max="6" width="15.6640625" style="267" customWidth="1"/>
    <col min="7" max="8" width="16.6640625" style="267" customWidth="1"/>
    <col min="9" max="9" width="10.88671875" style="267" bestFit="1" customWidth="1"/>
    <col min="10" max="10" width="8.88671875" style="267"/>
    <col min="11" max="11" width="10.33203125" style="267" bestFit="1" customWidth="1"/>
    <col min="12" max="12" width="8.88671875" style="267"/>
    <col min="13" max="13" width="13.88671875" style="267" bestFit="1" customWidth="1"/>
    <col min="14" max="16384" width="8.88671875" style="267"/>
  </cols>
  <sheetData>
    <row r="2" spans="2:17">
      <c r="B2" s="1357" t="s">
        <v>35</v>
      </c>
      <c r="C2" s="1357"/>
      <c r="D2" s="1357"/>
      <c r="E2" s="1357"/>
      <c r="F2" s="1357"/>
      <c r="G2" s="1357"/>
      <c r="H2" s="1357"/>
    </row>
    <row r="3" spans="2:17">
      <c r="B3" s="1357" t="s">
        <v>449</v>
      </c>
      <c r="C3" s="1357"/>
      <c r="D3" s="1357"/>
      <c r="E3" s="1357"/>
      <c r="F3" s="1357"/>
      <c r="G3" s="1357"/>
      <c r="H3" s="1357"/>
    </row>
    <row r="5" spans="2:17" ht="22.8">
      <c r="B5" s="1358" t="s">
        <v>424</v>
      </c>
      <c r="C5" s="1358"/>
      <c r="D5" s="1358"/>
      <c r="E5" s="1358"/>
      <c r="F5" s="1358"/>
      <c r="G5" s="1358"/>
      <c r="H5" s="1358"/>
    </row>
    <row r="6" spans="2:17" ht="22.8">
      <c r="B6" s="1358" t="str">
        <f>"TRIAL  BALANCE - "&amp;UPPER('KEY INPUTS'!D56)&amp;"  UTILITY  FUND (cont'd)"</f>
        <v>TRIAL  BALANCE -   UTILITY  FUND (cont'd)</v>
      </c>
      <c r="C6" s="1358"/>
      <c r="D6" s="1358"/>
      <c r="E6" s="1358"/>
      <c r="F6" s="1358"/>
      <c r="G6" s="1358"/>
      <c r="H6" s="1358"/>
    </row>
    <row r="7" spans="2:17" ht="15.6">
      <c r="B7" s="1359" t="str">
        <f>IF('KEY INPUTS'!C42 = "State Fiscal Year", 'KEY INPUTS'!F45,'KEY INPUTS'!D45)</f>
        <v>AS  AT  DECEMBER  31, 2024</v>
      </c>
      <c r="C7" s="1360"/>
      <c r="D7" s="1360"/>
      <c r="E7" s="1360"/>
      <c r="F7" s="1360"/>
      <c r="G7" s="1360"/>
      <c r="H7" s="1360"/>
    </row>
    <row r="8" spans="2:17" ht="15.6">
      <c r="B8" s="1354" t="s">
        <v>450</v>
      </c>
      <c r="C8" s="1354"/>
      <c r="D8" s="1354"/>
      <c r="E8" s="1354"/>
      <c r="F8" s="1354"/>
      <c r="G8" s="1354"/>
      <c r="H8" s="1354"/>
    </row>
    <row r="9" spans="2:17">
      <c r="B9" s="1355" t="s">
        <v>70</v>
      </c>
      <c r="C9" s="1355"/>
      <c r="D9" s="1355"/>
      <c r="E9" s="1355"/>
      <c r="F9" s="1355"/>
      <c r="G9" s="1355"/>
      <c r="H9" s="1355"/>
    </row>
    <row r="10" spans="2:17" ht="15" customHeight="1" thickBot="1">
      <c r="B10" s="1356" t="s">
        <v>71</v>
      </c>
      <c r="C10" s="1356"/>
      <c r="D10" s="1356"/>
      <c r="E10" s="1356"/>
      <c r="F10" s="1356"/>
      <c r="G10" s="1356"/>
      <c r="H10" s="1356"/>
    </row>
    <row r="11" spans="2:17" ht="36" customHeight="1" thickTop="1" thickBot="1">
      <c r="B11" s="1350" t="s">
        <v>95</v>
      </c>
      <c r="C11" s="1350"/>
      <c r="D11" s="1350"/>
      <c r="E11" s="1350"/>
      <c r="F11" s="1351"/>
      <c r="G11" s="304" t="s">
        <v>96</v>
      </c>
      <c r="H11" s="308" t="s">
        <v>97</v>
      </c>
    </row>
    <row r="12" spans="2:17" ht="21" customHeight="1" thickTop="1">
      <c r="B12" s="248"/>
      <c r="C12" s="248" t="s">
        <v>3263</v>
      </c>
      <c r="D12" s="248"/>
      <c r="E12" s="248"/>
      <c r="F12" s="248"/>
      <c r="G12" s="663">
        <f>'41a-Utility3'!G44</f>
        <v>0</v>
      </c>
      <c r="H12" s="668">
        <f>'41a-Utility3'!H44</f>
        <v>0</v>
      </c>
    </row>
    <row r="13" spans="2:17" ht="21" customHeight="1">
      <c r="C13" s="496"/>
      <c r="D13" s="496"/>
      <c r="E13" s="496"/>
      <c r="F13" s="496"/>
      <c r="G13" s="450"/>
      <c r="H13" s="498"/>
    </row>
    <row r="14" spans="2:17" ht="21" customHeight="1">
      <c r="B14" s="307"/>
      <c r="C14" s="495"/>
      <c r="D14" s="495"/>
      <c r="E14" s="495"/>
      <c r="F14" s="495"/>
      <c r="G14" s="450"/>
      <c r="H14" s="457"/>
      <c r="K14"/>
      <c r="L14"/>
      <c r="M14"/>
      <c r="N14"/>
      <c r="O14"/>
      <c r="P14"/>
      <c r="Q14"/>
    </row>
    <row r="15" spans="2:17" ht="21" customHeight="1">
      <c r="B15" s="248"/>
      <c r="C15" s="495"/>
      <c r="D15" s="495"/>
      <c r="E15" s="495"/>
      <c r="F15" s="495"/>
      <c r="G15" s="450"/>
      <c r="H15" s="457"/>
      <c r="K15"/>
      <c r="L15"/>
      <c r="M15"/>
      <c r="N15"/>
      <c r="O15"/>
      <c r="P15"/>
      <c r="Q15"/>
    </row>
    <row r="16" spans="2:17" ht="21" customHeight="1">
      <c r="B16" s="248"/>
      <c r="C16" s="495"/>
      <c r="D16" s="495"/>
      <c r="E16" s="495"/>
      <c r="F16" s="495"/>
      <c r="G16" s="289"/>
      <c r="H16" s="438"/>
      <c r="K16"/>
      <c r="L16"/>
      <c r="M16"/>
      <c r="N16"/>
      <c r="O16"/>
      <c r="P16"/>
      <c r="Q16"/>
    </row>
    <row r="17" spans="2:17" ht="21" customHeight="1">
      <c r="B17" s="248"/>
      <c r="C17" s="248" t="s">
        <v>3139</v>
      </c>
      <c r="D17" s="248"/>
      <c r="E17" s="248"/>
      <c r="F17" s="248"/>
      <c r="G17" s="663"/>
      <c r="H17" s="668">
        <f>+'49-Utility3'!G22</f>
        <v>0</v>
      </c>
      <c r="K17"/>
      <c r="L17"/>
      <c r="M17"/>
      <c r="N17"/>
      <c r="O17"/>
      <c r="P17"/>
      <c r="Q17"/>
    </row>
    <row r="18" spans="2:17" ht="21" customHeight="1">
      <c r="B18" s="248"/>
      <c r="C18" s="248" t="s">
        <v>3383</v>
      </c>
      <c r="D18" s="248"/>
      <c r="E18" s="248"/>
      <c r="F18" s="248"/>
      <c r="G18" s="663"/>
      <c r="H18" s="668">
        <f>'49a-Utility3'!G11+'49a-Utility3'!G22+'49a.1-Utility3'!G11+'49a.1-Utility3'!G22</f>
        <v>0</v>
      </c>
    </row>
    <row r="19" spans="2:17" ht="21" customHeight="1">
      <c r="B19" s="248"/>
      <c r="C19" s="248" t="s">
        <v>3392</v>
      </c>
      <c r="D19" s="248"/>
      <c r="E19" s="248"/>
      <c r="F19" s="248"/>
      <c r="G19" s="663"/>
      <c r="H19" s="668">
        <f>+'51a-Utility3'!G23</f>
        <v>0</v>
      </c>
      <c r="K19"/>
      <c r="L19"/>
      <c r="M19"/>
      <c r="N19"/>
      <c r="O19"/>
      <c r="P19"/>
      <c r="Q19"/>
    </row>
    <row r="20" spans="2:17" ht="21" customHeight="1">
      <c r="B20" s="248"/>
      <c r="C20" s="248" t="s">
        <v>3138</v>
      </c>
      <c r="D20" s="248"/>
      <c r="E20" s="248"/>
      <c r="F20" s="248"/>
      <c r="G20" s="663"/>
      <c r="H20" s="668">
        <f>+'50.1-Utility3'!G18</f>
        <v>0</v>
      </c>
      <c r="K20"/>
      <c r="L20"/>
      <c r="M20"/>
      <c r="N20"/>
      <c r="O20"/>
      <c r="P20"/>
      <c r="Q20"/>
    </row>
    <row r="21" spans="2:17" ht="21" customHeight="1">
      <c r="B21" s="248"/>
      <c r="C21" s="248" t="s">
        <v>802</v>
      </c>
      <c r="D21" s="248"/>
      <c r="E21" s="248"/>
      <c r="F21" s="248"/>
      <c r="G21" s="663"/>
      <c r="H21" s="668" t="s">
        <v>3131</v>
      </c>
      <c r="K21"/>
      <c r="L21"/>
      <c r="M21"/>
      <c r="N21"/>
      <c r="O21"/>
      <c r="P21"/>
      <c r="Q21"/>
    </row>
    <row r="22" spans="2:17" ht="21" customHeight="1">
      <c r="B22" s="248"/>
      <c r="C22" s="248"/>
      <c r="D22" s="248" t="s">
        <v>799</v>
      </c>
      <c r="E22" s="248"/>
      <c r="F22" s="248"/>
      <c r="G22" s="663"/>
      <c r="H22" s="668">
        <f>+'52-Utility3'!K27</f>
        <v>0</v>
      </c>
      <c r="J22" s="301"/>
      <c r="K22"/>
      <c r="L22"/>
      <c r="M22"/>
      <c r="N22"/>
      <c r="O22"/>
      <c r="P22"/>
      <c r="Q22"/>
    </row>
    <row r="23" spans="2:17" ht="21" customHeight="1">
      <c r="B23" s="248"/>
      <c r="C23" s="248"/>
      <c r="D23" s="248" t="s">
        <v>800</v>
      </c>
      <c r="E23" s="248"/>
      <c r="F23" s="248"/>
      <c r="G23" s="663"/>
      <c r="H23" s="668">
        <f>+'52-Utility3'!L27</f>
        <v>0</v>
      </c>
      <c r="J23" s="301"/>
      <c r="K23"/>
      <c r="L23"/>
      <c r="M23"/>
      <c r="N23"/>
      <c r="O23"/>
      <c r="P23"/>
      <c r="Q23"/>
    </row>
    <row r="24" spans="2:17" ht="21" customHeight="1">
      <c r="B24" s="248"/>
      <c r="C24" s="495" t="s">
        <v>3137</v>
      </c>
      <c r="D24" s="495"/>
      <c r="E24" s="495"/>
      <c r="F24" s="495"/>
      <c r="G24" s="289"/>
      <c r="H24" s="419"/>
    </row>
    <row r="25" spans="2:17" ht="21" customHeight="1">
      <c r="B25" s="248"/>
      <c r="C25" s="495" t="s">
        <v>674</v>
      </c>
      <c r="D25" s="495"/>
      <c r="E25" s="495"/>
      <c r="F25" s="495"/>
      <c r="G25" s="289"/>
      <c r="H25" s="419"/>
    </row>
    <row r="26" spans="2:17" ht="21" customHeight="1">
      <c r="B26" s="248"/>
      <c r="C26" s="495" t="str">
        <f>"DUE TO "&amp;UPPER('KEY INPUTS'!D54)&amp;" OPERATING"</f>
        <v>DUE TO WATER OPERATING</v>
      </c>
      <c r="D26" s="495"/>
      <c r="E26" s="495"/>
      <c r="F26" s="495"/>
      <c r="G26" s="289"/>
      <c r="H26" s="419"/>
    </row>
    <row r="27" spans="2:17" ht="21" customHeight="1">
      <c r="B27" s="248"/>
      <c r="C27" s="495" t="s">
        <v>673</v>
      </c>
      <c r="D27" s="495"/>
      <c r="E27" s="495"/>
      <c r="F27" s="495"/>
      <c r="G27" s="289"/>
      <c r="H27" s="419"/>
    </row>
    <row r="28" spans="2:17" ht="21" customHeight="1">
      <c r="B28" s="248"/>
      <c r="C28" s="495" t="s">
        <v>672</v>
      </c>
      <c r="D28" s="495"/>
      <c r="E28" s="495"/>
      <c r="F28" s="495"/>
      <c r="G28" s="289"/>
      <c r="H28" s="419"/>
    </row>
    <row r="29" spans="2:17" ht="21" customHeight="1">
      <c r="B29" s="248"/>
      <c r="C29" s="495" t="s">
        <v>287</v>
      </c>
      <c r="D29" s="495"/>
      <c r="E29" s="495"/>
      <c r="F29" s="495"/>
      <c r="G29" s="289"/>
      <c r="H29" s="419"/>
    </row>
    <row r="30" spans="2:17" ht="21" customHeight="1">
      <c r="B30" s="248"/>
      <c r="C30" s="495"/>
      <c r="D30" s="495"/>
      <c r="E30" s="495"/>
      <c r="F30" s="495"/>
      <c r="G30" s="289"/>
      <c r="H30" s="438" t="s">
        <v>3131</v>
      </c>
    </row>
    <row r="31" spans="2:17" ht="21" customHeight="1">
      <c r="B31" s="248"/>
      <c r="C31" s="495"/>
      <c r="D31" s="495"/>
      <c r="E31" s="495"/>
      <c r="F31" s="495"/>
      <c r="G31" s="289"/>
      <c r="H31" s="438" t="s">
        <v>3131</v>
      </c>
    </row>
    <row r="32" spans="2:17" ht="21" customHeight="1">
      <c r="B32" s="248"/>
      <c r="C32" s="495"/>
      <c r="D32" s="495"/>
      <c r="E32" s="495"/>
      <c r="F32" s="495"/>
      <c r="G32" s="289"/>
      <c r="H32" s="498"/>
    </row>
    <row r="33" spans="2:13" ht="21" customHeight="1">
      <c r="B33" s="248"/>
      <c r="C33" s="495"/>
      <c r="D33" s="495"/>
      <c r="E33" s="495"/>
      <c r="F33" s="495"/>
      <c r="G33" s="289"/>
      <c r="H33" s="438" t="s">
        <v>3131</v>
      </c>
    </row>
    <row r="34" spans="2:13" ht="21" customHeight="1">
      <c r="B34" s="248"/>
      <c r="C34" s="495"/>
      <c r="D34" s="495"/>
      <c r="E34" s="495"/>
      <c r="F34" s="495"/>
      <c r="G34" s="289"/>
      <c r="H34" s="438"/>
    </row>
    <row r="35" spans="2:13" ht="21" customHeight="1">
      <c r="B35" s="248"/>
      <c r="C35" s="495"/>
      <c r="D35" s="495"/>
      <c r="E35" s="495"/>
      <c r="F35" s="495"/>
      <c r="G35" s="289"/>
      <c r="H35" s="438"/>
    </row>
    <row r="36" spans="2:13" ht="21" customHeight="1">
      <c r="B36" s="248"/>
      <c r="C36" s="495"/>
      <c r="D36" s="495"/>
      <c r="E36" s="495"/>
      <c r="F36" s="495"/>
      <c r="G36" s="289"/>
      <c r="H36" s="438" t="s">
        <v>3131</v>
      </c>
    </row>
    <row r="37" spans="2:13" ht="21" customHeight="1">
      <c r="B37" s="248"/>
      <c r="C37" s="495"/>
      <c r="D37" s="495"/>
      <c r="E37" s="495"/>
      <c r="F37" s="495"/>
      <c r="G37" s="289"/>
      <c r="H37" s="498"/>
    </row>
    <row r="38" spans="2:13" ht="21" customHeight="1">
      <c r="B38" s="248"/>
      <c r="C38" s="495"/>
      <c r="D38" s="495"/>
      <c r="E38" s="495"/>
      <c r="F38" s="495"/>
      <c r="G38" s="289"/>
      <c r="H38" s="438" t="s">
        <v>3131</v>
      </c>
    </row>
    <row r="39" spans="2:13" ht="21" customHeight="1">
      <c r="B39" s="248"/>
      <c r="C39" s="495"/>
      <c r="D39" s="495"/>
      <c r="E39" s="495"/>
      <c r="F39" s="495"/>
      <c r="G39" s="289"/>
      <c r="H39" s="438"/>
    </row>
    <row r="40" spans="2:13" ht="21" customHeight="1">
      <c r="B40" s="248"/>
      <c r="C40" s="248" t="s">
        <v>3199</v>
      </c>
      <c r="D40" s="248"/>
      <c r="E40" s="248"/>
      <c r="F40" s="248"/>
      <c r="G40" s="272"/>
      <c r="H40" s="255">
        <f>+'53-Utility3'!I41</f>
        <v>0</v>
      </c>
    </row>
    <row r="41" spans="2:13" ht="21" customHeight="1">
      <c r="B41" s="248"/>
      <c r="C41" s="248" t="s">
        <v>803</v>
      </c>
      <c r="D41" s="248"/>
      <c r="E41" s="248"/>
      <c r="F41" s="248"/>
      <c r="G41" s="272"/>
      <c r="H41" s="255">
        <f>+'53-Utility3'!I24</f>
        <v>0</v>
      </c>
    </row>
    <row r="42" spans="2:13" ht="21" customHeight="1">
      <c r="B42" s="248"/>
      <c r="C42" s="248" t="s">
        <v>641</v>
      </c>
      <c r="D42" s="248"/>
      <c r="E42" s="248"/>
      <c r="F42" s="248"/>
      <c r="G42" s="272"/>
      <c r="H42" s="255">
        <f>+'54-Utility3'!I42</f>
        <v>0</v>
      </c>
    </row>
    <row r="43" spans="2:13" ht="21" customHeight="1" thickBot="1">
      <c r="B43" s="248"/>
      <c r="C43" s="248"/>
      <c r="D43" s="248"/>
      <c r="E43" s="248"/>
      <c r="F43" s="248"/>
      <c r="G43" s="256"/>
      <c r="H43" s="306"/>
      <c r="I43" s="301"/>
      <c r="M43" s="301"/>
    </row>
    <row r="44" spans="2:13" ht="21" customHeight="1" thickBot="1">
      <c r="B44" s="248"/>
      <c r="C44" s="248" t="s">
        <v>798</v>
      </c>
      <c r="D44" s="248"/>
      <c r="E44" s="248"/>
      <c r="F44" s="248"/>
      <c r="G44" s="277">
        <f>SUM(G12:G42)</f>
        <v>0</v>
      </c>
      <c r="H44" s="305">
        <f>SUM(H12:H43)</f>
        <v>0</v>
      </c>
      <c r="I44" s="301"/>
      <c r="K44" s="301"/>
    </row>
    <row r="45" spans="2:13" ht="13.8" thickTop="1">
      <c r="B45" s="1361" t="s">
        <v>98</v>
      </c>
      <c r="C45" s="1361"/>
      <c r="D45" s="1361"/>
      <c r="E45" s="1361"/>
      <c r="F45" s="1361"/>
      <c r="G45" s="1352"/>
      <c r="H45" s="1352"/>
    </row>
    <row r="46" spans="2:13">
      <c r="B46" s="302"/>
      <c r="C46" s="302"/>
      <c r="D46" s="302"/>
      <c r="E46" s="302"/>
      <c r="F46" s="302"/>
      <c r="G46" s="302"/>
      <c r="H46" s="302"/>
    </row>
    <row r="47" spans="2:13">
      <c r="B47" s="302"/>
      <c r="C47" s="302"/>
      <c r="D47" s="302"/>
      <c r="E47" s="302"/>
      <c r="F47" s="302"/>
      <c r="G47" s="302"/>
      <c r="H47" s="302"/>
    </row>
    <row r="48" spans="2:13">
      <c r="B48" s="302"/>
      <c r="C48" s="302"/>
      <c r="D48" s="302"/>
      <c r="E48" s="302"/>
      <c r="F48" s="302"/>
      <c r="G48" s="302"/>
      <c r="H48" s="302"/>
    </row>
    <row r="49" spans="2:8">
      <c r="B49" s="302"/>
      <c r="C49" s="302"/>
      <c r="D49" s="302"/>
      <c r="E49" s="302"/>
      <c r="F49" s="302"/>
      <c r="G49" s="302"/>
      <c r="H49" s="302"/>
    </row>
    <row r="50" spans="2:8" ht="13.8">
      <c r="B50" s="1353" t="s">
        <v>3394</v>
      </c>
      <c r="C50" s="1353"/>
      <c r="D50" s="1353"/>
      <c r="E50" s="1353"/>
      <c r="F50" s="1353"/>
      <c r="G50" s="1353"/>
      <c r="H50" s="1353"/>
    </row>
    <row r="55" spans="2:8">
      <c r="H55" s="301"/>
    </row>
  </sheetData>
  <sheetProtection algorithmName="SHA-512" hashValue="JahpJ3fHEz2NBfd66S6WI3YOdKrQs7kI9Z54MvLLt20kEnCwlvniY8tIQCzDhPYAPjwM744B3sD8bWETLpL42w==" saltValue="SDxzZjuw36Hk5MjCcglPhQ=="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pageSetUpPr fitToPage="1"/>
  </sheetPr>
  <dimension ref="B2:O52"/>
  <sheetViews>
    <sheetView zoomScaleNormal="100" workbookViewId="0">
      <selection activeCell="I15" sqref="I15"/>
    </sheetView>
  </sheetViews>
  <sheetFormatPr defaultRowHeight="13.2"/>
  <cols>
    <col min="1" max="3" width="4.6640625" customWidth="1"/>
    <col min="5" max="5" width="11.88671875" customWidth="1"/>
    <col min="6" max="6" width="1.6640625" customWidth="1"/>
    <col min="7" max="7" width="14.6640625" customWidth="1"/>
    <col min="8" max="8" width="1.6640625" customWidth="1"/>
    <col min="9" max="9" width="14.6640625" customWidth="1"/>
    <col min="10" max="10" width="1.6640625" customWidth="1"/>
    <col min="11" max="11" width="14.6640625" customWidth="1"/>
    <col min="12" max="12" width="1.6640625" customWidth="1"/>
    <col min="13" max="13" width="14.6640625" customWidth="1"/>
    <col min="14" max="14" width="10.88671875" bestFit="1" customWidth="1"/>
  </cols>
  <sheetData>
    <row r="2" spans="2:15" ht="20.399999999999999">
      <c r="B2" s="1131" t="s">
        <v>3348</v>
      </c>
      <c r="C2" s="1131"/>
      <c r="D2" s="1131"/>
      <c r="E2" s="1131"/>
      <c r="F2" s="1131"/>
      <c r="G2" s="1131"/>
      <c r="H2" s="1131"/>
      <c r="I2" s="1131"/>
      <c r="J2" s="1131"/>
      <c r="K2" s="1131"/>
      <c r="L2" s="1131"/>
      <c r="M2" s="1131"/>
    </row>
    <row r="3" spans="2:15">
      <c r="B3" s="1158"/>
      <c r="C3" s="1158"/>
      <c r="D3" s="1158"/>
      <c r="E3" s="1158"/>
      <c r="F3" s="1158"/>
      <c r="G3" s="1158"/>
      <c r="H3" s="1158"/>
      <c r="I3" s="1158"/>
      <c r="J3" s="1158"/>
      <c r="K3" s="1158"/>
      <c r="L3" s="1158"/>
      <c r="M3" s="1158"/>
    </row>
    <row r="5" spans="2:15">
      <c r="B5" s="1190"/>
      <c r="C5" s="1190"/>
      <c r="D5" s="1190"/>
      <c r="G5" s="1" t="s">
        <v>414</v>
      </c>
      <c r="I5" s="124"/>
      <c r="K5" s="124"/>
    </row>
    <row r="6" spans="2:15">
      <c r="B6" s="1190"/>
      <c r="C6" s="1190"/>
      <c r="D6" s="1190"/>
      <c r="G6" s="243" t="str">
        <f>IF('KEY INPUTS'!C42 = "State Fiscal Year", 'KEY INPUTS'!F46,'KEY INPUTS'!D46)</f>
        <v>Dec. 31, 2023</v>
      </c>
      <c r="I6" s="1"/>
      <c r="K6" s="1"/>
      <c r="M6" s="1" t="s">
        <v>529</v>
      </c>
    </row>
    <row r="7" spans="2:15">
      <c r="G7" s="1" t="s">
        <v>433</v>
      </c>
      <c r="I7" s="1"/>
      <c r="K7" s="1"/>
      <c r="M7" s="1" t="s">
        <v>437</v>
      </c>
    </row>
    <row r="8" spans="2:15">
      <c r="B8" s="1190" t="s">
        <v>413</v>
      </c>
      <c r="C8" s="1190"/>
      <c r="D8" s="1190"/>
      <c r="G8" s="124" t="s">
        <v>432</v>
      </c>
      <c r="I8" s="124" t="s">
        <v>427</v>
      </c>
      <c r="K8" s="124" t="s">
        <v>535</v>
      </c>
      <c r="M8" s="241" t="str">
        <f>IF('KEY INPUTS'!C42 = "State Fiscal Year", 'KEY INPUTS'!F47,'KEY INPUTS'!D47)</f>
        <v>Dec. 31, 2024</v>
      </c>
    </row>
    <row r="9" spans="2:15">
      <c r="B9" s="124"/>
      <c r="C9" s="124"/>
      <c r="D9" s="124"/>
      <c r="G9" s="124"/>
      <c r="I9" s="124"/>
      <c r="K9" s="124"/>
      <c r="M9" s="124"/>
    </row>
    <row r="10" spans="2:15" ht="21" customHeight="1">
      <c r="B10" s="512" t="s">
        <v>3754</v>
      </c>
      <c r="C10" s="292"/>
      <c r="D10" s="292"/>
      <c r="E10" s="292"/>
      <c r="G10" s="293">
        <v>119800</v>
      </c>
      <c r="I10" s="293">
        <v>60300</v>
      </c>
      <c r="K10" s="293">
        <f>35700+43600</f>
        <v>79300</v>
      </c>
      <c r="L10" s="295"/>
      <c r="M10" s="637">
        <f t="shared" ref="M10:M15" si="0">+G10+I10-K10</f>
        <v>100800</v>
      </c>
      <c r="N10" s="204"/>
    </row>
    <row r="11" spans="2:15" ht="21" customHeight="1">
      <c r="B11" s="512" t="s">
        <v>3755</v>
      </c>
      <c r="C11" s="292"/>
      <c r="D11" s="292"/>
      <c r="E11" s="292"/>
      <c r="G11" s="293">
        <v>47060.91</v>
      </c>
      <c r="I11" s="293">
        <f>660481.9</f>
        <v>660481.9</v>
      </c>
      <c r="K11" s="293">
        <f>655391.2+106.9+20341.92</f>
        <v>675840.02</v>
      </c>
      <c r="L11" s="295"/>
      <c r="M11" s="637">
        <f t="shared" si="0"/>
        <v>31702.790000000037</v>
      </c>
      <c r="N11" s="204"/>
    </row>
    <row r="12" spans="2:15" ht="21" customHeight="1">
      <c r="B12" s="512" t="s">
        <v>3756</v>
      </c>
      <c r="C12" s="292"/>
      <c r="D12" s="292"/>
      <c r="E12" s="292"/>
      <c r="G12" s="293">
        <v>34319.47</v>
      </c>
      <c r="I12" s="293">
        <v>135949.24</v>
      </c>
      <c r="K12" s="293">
        <f>16691+900</f>
        <v>17591</v>
      </c>
      <c r="L12" s="295"/>
      <c r="M12" s="637">
        <f t="shared" si="0"/>
        <v>152677.71</v>
      </c>
      <c r="N12" s="204"/>
    </row>
    <row r="13" spans="2:15" ht="21" customHeight="1">
      <c r="B13" s="512" t="s">
        <v>3757</v>
      </c>
      <c r="C13" s="292"/>
      <c r="D13" s="292"/>
      <c r="E13" s="292"/>
      <c r="G13" s="293">
        <v>42724.800000000003</v>
      </c>
      <c r="I13" s="511"/>
      <c r="K13" s="293"/>
      <c r="L13" s="295"/>
      <c r="M13" s="637">
        <f t="shared" si="0"/>
        <v>42724.800000000003</v>
      </c>
      <c r="N13" s="204"/>
      <c r="O13" s="294"/>
    </row>
    <row r="14" spans="2:15" ht="21" customHeight="1">
      <c r="B14" s="512" t="s">
        <v>3758</v>
      </c>
      <c r="C14" s="292"/>
      <c r="D14" s="292"/>
      <c r="E14" s="292"/>
      <c r="G14" s="293">
        <v>0.02</v>
      </c>
      <c r="I14" s="293">
        <f>55909.63+20828.15</f>
        <v>76737.78</v>
      </c>
      <c r="K14" s="293">
        <v>76737.78</v>
      </c>
      <c r="L14" s="295"/>
      <c r="M14" s="637">
        <f t="shared" si="0"/>
        <v>2.0000000004074536E-2</v>
      </c>
      <c r="N14" s="204"/>
    </row>
    <row r="15" spans="2:15" ht="21" customHeight="1">
      <c r="B15" s="512" t="s">
        <v>3759</v>
      </c>
      <c r="C15" s="292"/>
      <c r="D15" s="292"/>
      <c r="E15" s="292"/>
      <c r="G15" s="293">
        <v>2</v>
      </c>
      <c r="I15" s="293"/>
      <c r="K15" s="293"/>
      <c r="L15" s="295"/>
      <c r="M15" s="637">
        <f t="shared" si="0"/>
        <v>2</v>
      </c>
      <c r="N15" s="204"/>
    </row>
    <row r="16" spans="2:15" ht="21" customHeight="1">
      <c r="B16" s="512" t="s">
        <v>3760</v>
      </c>
      <c r="C16" s="292"/>
      <c r="D16" s="292"/>
      <c r="E16" s="292"/>
      <c r="G16" s="293">
        <v>1150</v>
      </c>
      <c r="I16" s="293"/>
      <c r="K16" s="293"/>
      <c r="L16" s="295"/>
      <c r="M16" s="637">
        <f t="shared" ref="M16:M47" si="1">+G16+I16-K16</f>
        <v>1150</v>
      </c>
      <c r="N16" s="204"/>
    </row>
    <row r="17" spans="2:14" ht="21" customHeight="1">
      <c r="B17" s="292"/>
      <c r="C17" s="292"/>
      <c r="D17" s="292"/>
      <c r="E17" s="292"/>
      <c r="G17" s="293"/>
      <c r="I17" s="293"/>
      <c r="K17" s="293"/>
      <c r="L17" s="295"/>
      <c r="M17" s="637">
        <f t="shared" si="1"/>
        <v>0</v>
      </c>
      <c r="N17" s="204"/>
    </row>
    <row r="18" spans="2:14" ht="21" customHeight="1">
      <c r="B18" s="292"/>
      <c r="C18" s="292"/>
      <c r="D18" s="292"/>
      <c r="E18" s="292"/>
      <c r="G18" s="293"/>
      <c r="I18" s="293"/>
      <c r="K18" s="293"/>
      <c r="L18" s="295"/>
      <c r="M18" s="637">
        <f t="shared" si="1"/>
        <v>0</v>
      </c>
      <c r="N18" s="204"/>
    </row>
    <row r="19" spans="2:14" ht="21" customHeight="1">
      <c r="B19" s="512"/>
      <c r="C19" s="292"/>
      <c r="D19" s="292"/>
      <c r="E19" s="292"/>
      <c r="G19" s="293"/>
      <c r="I19" s="293"/>
      <c r="K19" s="293"/>
      <c r="L19" s="295"/>
      <c r="M19" s="637">
        <f t="shared" si="1"/>
        <v>0</v>
      </c>
      <c r="N19" s="204"/>
    </row>
    <row r="20" spans="2:14" ht="21" customHeight="1">
      <c r="B20" s="512"/>
      <c r="C20" s="292"/>
      <c r="D20" s="292"/>
      <c r="E20" s="292"/>
      <c r="G20" s="293"/>
      <c r="I20" s="293"/>
      <c r="K20" s="293"/>
      <c r="L20" s="295"/>
      <c r="M20" s="637">
        <f t="shared" si="1"/>
        <v>0</v>
      </c>
      <c r="N20" s="204"/>
    </row>
    <row r="21" spans="2:14" ht="21" customHeight="1">
      <c r="B21" s="512"/>
      <c r="C21" s="292"/>
      <c r="D21" s="292"/>
      <c r="E21" s="292"/>
      <c r="G21" s="293"/>
      <c r="I21" s="293"/>
      <c r="K21" s="293"/>
      <c r="L21" s="295"/>
      <c r="M21" s="637">
        <f t="shared" si="1"/>
        <v>0</v>
      </c>
      <c r="N21" s="204"/>
    </row>
    <row r="22" spans="2:14" ht="21" customHeight="1">
      <c r="B22" s="512"/>
      <c r="C22" s="292"/>
      <c r="D22" s="292"/>
      <c r="E22" s="292"/>
      <c r="G22" s="293"/>
      <c r="I22" s="293"/>
      <c r="K22" s="293"/>
      <c r="L22" s="295"/>
      <c r="M22" s="637">
        <f t="shared" si="1"/>
        <v>0</v>
      </c>
      <c r="N22" s="204"/>
    </row>
    <row r="23" spans="2:14" ht="21" customHeight="1">
      <c r="B23" s="512"/>
      <c r="C23" s="292"/>
      <c r="D23" s="292"/>
      <c r="E23" s="292"/>
      <c r="G23" s="293"/>
      <c r="I23" s="293"/>
      <c r="K23" s="293"/>
      <c r="L23" s="295"/>
      <c r="M23" s="637">
        <f t="shared" si="1"/>
        <v>0</v>
      </c>
      <c r="N23" s="204"/>
    </row>
    <row r="24" spans="2:14" ht="21" customHeight="1">
      <c r="B24" s="512"/>
      <c r="C24" s="292"/>
      <c r="D24" s="292"/>
      <c r="E24" s="292"/>
      <c r="G24" s="293"/>
      <c r="I24" s="293"/>
      <c r="K24" s="293"/>
      <c r="L24" s="295"/>
      <c r="M24" s="637">
        <f t="shared" si="1"/>
        <v>0</v>
      </c>
      <c r="N24" s="204"/>
    </row>
    <row r="25" spans="2:14" ht="21" customHeight="1">
      <c r="B25" s="292"/>
      <c r="C25" s="292"/>
      <c r="D25" s="292"/>
      <c r="E25" s="292"/>
      <c r="G25" s="293"/>
      <c r="I25" s="293"/>
      <c r="K25" s="293"/>
      <c r="L25" s="295"/>
      <c r="M25" s="637">
        <f t="shared" si="1"/>
        <v>0</v>
      </c>
      <c r="N25" s="204"/>
    </row>
    <row r="26" spans="2:14" ht="21" customHeight="1">
      <c r="B26" s="292"/>
      <c r="C26" s="292"/>
      <c r="D26" s="292"/>
      <c r="E26" s="292"/>
      <c r="G26" s="293"/>
      <c r="I26" s="293"/>
      <c r="K26" s="293"/>
      <c r="L26" s="295"/>
      <c r="M26" s="637">
        <f t="shared" si="1"/>
        <v>0</v>
      </c>
    </row>
    <row r="27" spans="2:14" ht="21" customHeight="1">
      <c r="B27" s="292"/>
      <c r="C27" s="292"/>
      <c r="D27" s="292"/>
      <c r="E27" s="292"/>
      <c r="G27" s="293"/>
      <c r="I27" s="293"/>
      <c r="K27" s="293"/>
      <c r="L27" s="295"/>
      <c r="M27" s="637">
        <f t="shared" si="1"/>
        <v>0</v>
      </c>
    </row>
    <row r="28" spans="2:14" ht="21" customHeight="1">
      <c r="B28" s="292"/>
      <c r="C28" s="292"/>
      <c r="D28" s="292"/>
      <c r="E28" s="292"/>
      <c r="G28" s="293"/>
      <c r="I28" s="293"/>
      <c r="K28" s="293"/>
      <c r="L28" s="295"/>
      <c r="M28" s="637">
        <f t="shared" si="1"/>
        <v>0</v>
      </c>
    </row>
    <row r="29" spans="2:14" ht="21" customHeight="1">
      <c r="B29" s="292"/>
      <c r="C29" s="292"/>
      <c r="D29" s="292"/>
      <c r="E29" s="292"/>
      <c r="G29" s="293"/>
      <c r="I29" s="293"/>
      <c r="K29" s="293"/>
      <c r="L29" s="295"/>
      <c r="M29" s="637">
        <f t="shared" si="1"/>
        <v>0</v>
      </c>
    </row>
    <row r="30" spans="2:14" ht="21" customHeight="1">
      <c r="B30" s="292"/>
      <c r="C30" s="292"/>
      <c r="D30" s="292"/>
      <c r="E30" s="292"/>
      <c r="G30" s="293"/>
      <c r="I30" s="293"/>
      <c r="K30" s="293"/>
      <c r="L30" s="295"/>
      <c r="M30" s="637">
        <f t="shared" si="1"/>
        <v>0</v>
      </c>
    </row>
    <row r="31" spans="2:14" ht="21" customHeight="1">
      <c r="B31" s="292"/>
      <c r="C31" s="292"/>
      <c r="D31" s="292"/>
      <c r="E31" s="292"/>
      <c r="G31" s="293"/>
      <c r="I31" s="293"/>
      <c r="K31" s="293"/>
      <c r="L31" s="295"/>
      <c r="M31" s="637">
        <f t="shared" si="1"/>
        <v>0</v>
      </c>
    </row>
    <row r="32" spans="2:14" ht="21" customHeight="1">
      <c r="B32" s="292"/>
      <c r="C32" s="292"/>
      <c r="D32" s="292"/>
      <c r="E32" s="292"/>
      <c r="G32" s="293"/>
      <c r="I32" s="293"/>
      <c r="K32" s="293"/>
      <c r="L32" s="295"/>
      <c r="M32" s="637">
        <f t="shared" si="1"/>
        <v>0</v>
      </c>
    </row>
    <row r="33" spans="2:13" ht="21" customHeight="1">
      <c r="B33" s="292"/>
      <c r="C33" s="292"/>
      <c r="D33" s="292"/>
      <c r="E33" s="292"/>
      <c r="G33" s="293"/>
      <c r="I33" s="293"/>
      <c r="K33" s="293"/>
      <c r="L33" s="295"/>
      <c r="M33" s="637">
        <f t="shared" si="1"/>
        <v>0</v>
      </c>
    </row>
    <row r="34" spans="2:13" ht="21" customHeight="1">
      <c r="B34" s="292"/>
      <c r="C34" s="292"/>
      <c r="D34" s="292"/>
      <c r="E34" s="292"/>
      <c r="G34" s="293"/>
      <c r="I34" s="293"/>
      <c r="K34" s="293"/>
      <c r="L34" s="295"/>
      <c r="M34" s="637">
        <f t="shared" si="1"/>
        <v>0</v>
      </c>
    </row>
    <row r="35" spans="2:13" ht="21" customHeight="1">
      <c r="B35" s="292"/>
      <c r="C35" s="292"/>
      <c r="D35" s="292"/>
      <c r="E35" s="292"/>
      <c r="G35" s="293"/>
      <c r="I35" s="293"/>
      <c r="K35" s="293"/>
      <c r="L35" s="295"/>
      <c r="M35" s="637">
        <f t="shared" si="1"/>
        <v>0</v>
      </c>
    </row>
    <row r="36" spans="2:13" ht="21" customHeight="1">
      <c r="B36" s="292"/>
      <c r="C36" s="292"/>
      <c r="D36" s="292"/>
      <c r="E36" s="292"/>
      <c r="G36" s="293"/>
      <c r="I36" s="293"/>
      <c r="K36" s="293"/>
      <c r="L36" s="295"/>
      <c r="M36" s="637">
        <f t="shared" si="1"/>
        <v>0</v>
      </c>
    </row>
    <row r="37" spans="2:13" ht="21" customHeight="1">
      <c r="B37" s="292"/>
      <c r="C37" s="292"/>
      <c r="D37" s="292"/>
      <c r="E37" s="292"/>
      <c r="G37" s="293"/>
      <c r="I37" s="293"/>
      <c r="K37" s="293"/>
      <c r="L37" s="295"/>
      <c r="M37" s="637">
        <f t="shared" si="1"/>
        <v>0</v>
      </c>
    </row>
    <row r="38" spans="2:13" ht="21" customHeight="1">
      <c r="B38" s="292"/>
      <c r="C38" s="292"/>
      <c r="D38" s="292"/>
      <c r="E38" s="292"/>
      <c r="G38" s="293"/>
      <c r="I38" s="293"/>
      <c r="K38" s="293"/>
      <c r="L38" s="295"/>
      <c r="M38" s="637">
        <f t="shared" si="1"/>
        <v>0</v>
      </c>
    </row>
    <row r="39" spans="2:13" ht="21" customHeight="1">
      <c r="B39" s="292"/>
      <c r="C39" s="292"/>
      <c r="D39" s="292"/>
      <c r="E39" s="292"/>
      <c r="G39" s="293"/>
      <c r="I39" s="293"/>
      <c r="K39" s="293"/>
      <c r="L39" s="295"/>
      <c r="M39" s="637">
        <f t="shared" si="1"/>
        <v>0</v>
      </c>
    </row>
    <row r="40" spans="2:13" ht="21" customHeight="1">
      <c r="B40" s="292"/>
      <c r="C40" s="292"/>
      <c r="D40" s="292"/>
      <c r="E40" s="292"/>
      <c r="G40" s="293"/>
      <c r="I40" s="293"/>
      <c r="K40" s="293"/>
      <c r="L40" s="295"/>
      <c r="M40" s="637">
        <f t="shared" si="1"/>
        <v>0</v>
      </c>
    </row>
    <row r="41" spans="2:13" ht="21" customHeight="1">
      <c r="B41" s="292"/>
      <c r="C41" s="292"/>
      <c r="D41" s="292"/>
      <c r="E41" s="292"/>
      <c r="G41" s="293"/>
      <c r="I41" s="293"/>
      <c r="K41" s="293"/>
      <c r="L41" s="295"/>
      <c r="M41" s="637">
        <f t="shared" si="1"/>
        <v>0</v>
      </c>
    </row>
    <row r="42" spans="2:13" ht="21" customHeight="1">
      <c r="B42" s="292"/>
      <c r="C42" s="292"/>
      <c r="D42" s="292"/>
      <c r="E42" s="292"/>
      <c r="G42" s="293"/>
      <c r="I42" s="293"/>
      <c r="K42" s="293"/>
      <c r="L42" s="295"/>
      <c r="M42" s="637">
        <f t="shared" si="1"/>
        <v>0</v>
      </c>
    </row>
    <row r="43" spans="2:13" ht="21" customHeight="1">
      <c r="B43" s="292"/>
      <c r="C43" s="292"/>
      <c r="D43" s="292"/>
      <c r="E43" s="292"/>
      <c r="G43" s="293"/>
      <c r="I43" s="293"/>
      <c r="K43" s="293"/>
      <c r="L43" s="295"/>
      <c r="M43" s="637">
        <f t="shared" si="1"/>
        <v>0</v>
      </c>
    </row>
    <row r="44" spans="2:13" ht="21" customHeight="1">
      <c r="B44" s="292"/>
      <c r="C44" s="292"/>
      <c r="D44" s="292"/>
      <c r="E44" s="292"/>
      <c r="G44" s="293"/>
      <c r="I44" s="293"/>
      <c r="K44" s="293"/>
      <c r="L44" s="295"/>
      <c r="M44" s="637">
        <f t="shared" si="1"/>
        <v>0</v>
      </c>
    </row>
    <row r="45" spans="2:13" ht="21" customHeight="1">
      <c r="B45" s="292"/>
      <c r="C45" s="292"/>
      <c r="D45" s="292"/>
      <c r="E45" s="292"/>
      <c r="G45" s="293"/>
      <c r="I45" s="293"/>
      <c r="K45" s="293"/>
      <c r="L45" s="295"/>
      <c r="M45" s="637">
        <f t="shared" si="1"/>
        <v>0</v>
      </c>
    </row>
    <row r="46" spans="2:13" ht="21" customHeight="1">
      <c r="B46" s="292"/>
      <c r="C46" s="292"/>
      <c r="D46" s="292"/>
      <c r="E46" s="292"/>
      <c r="G46" s="293"/>
      <c r="I46" s="293"/>
      <c r="K46" s="293"/>
      <c r="L46" s="295"/>
      <c r="M46" s="637">
        <f t="shared" si="1"/>
        <v>0</v>
      </c>
    </row>
    <row r="47" spans="2:13" ht="21" customHeight="1">
      <c r="B47" s="512"/>
      <c r="C47" s="292"/>
      <c r="D47" s="292"/>
      <c r="E47" s="292"/>
      <c r="G47" s="293"/>
      <c r="I47" s="293"/>
      <c r="K47" s="293"/>
      <c r="L47" s="295"/>
      <c r="M47" s="637">
        <f t="shared" si="1"/>
        <v>0</v>
      </c>
    </row>
    <row r="48" spans="2:13" ht="21" customHeight="1">
      <c r="D48" s="112" t="s">
        <v>3255</v>
      </c>
      <c r="F48" t="s">
        <v>373</v>
      </c>
      <c r="G48" s="149">
        <f>SUM(G10:G47)</f>
        <v>245057.19999999998</v>
      </c>
      <c r="H48" t="s">
        <v>373</v>
      </c>
      <c r="I48" s="149">
        <f>SUM(I10:I47)</f>
        <v>933468.92</v>
      </c>
      <c r="J48" t="s">
        <v>373</v>
      </c>
      <c r="K48" s="149">
        <f>SUM(K10:K47)</f>
        <v>849468.8</v>
      </c>
      <c r="L48" t="s">
        <v>373</v>
      </c>
      <c r="M48" s="637">
        <f>SUM(M10:M47)</f>
        <v>329057.32</v>
      </c>
    </row>
    <row r="50" spans="2:13" ht="13.8">
      <c r="B50" s="1130" t="s">
        <v>428</v>
      </c>
      <c r="C50" s="1130"/>
      <c r="D50" s="1130"/>
      <c r="E50" s="1130"/>
      <c r="F50" s="1130"/>
      <c r="G50" s="1130"/>
      <c r="H50" s="1130"/>
      <c r="I50" s="1130"/>
      <c r="J50" s="1130"/>
      <c r="K50" s="1130"/>
      <c r="L50" s="1130"/>
      <c r="M50" s="1130"/>
    </row>
    <row r="52" spans="2:13">
      <c r="G52" s="204"/>
      <c r="M52" s="204"/>
    </row>
  </sheetData>
  <sheetProtection algorithmName="SHA-512" hashValue="2oH26s9PNeYifG/93wozLoOelaYsXGIEcmGRev7dWypMQsUEu+HHY3sdhTUSxAXQ1oBYe7R6jb3MpBbm7PjsJw==" saltValue="loSXtmkRO7OkcTIFkyQGNQ==" spinCount="100000" sheet="1" scenarios="1"/>
  <mergeCells count="6">
    <mergeCell ref="B50:M50"/>
    <mergeCell ref="B5:D5"/>
    <mergeCell ref="B8:D8"/>
    <mergeCell ref="B2:M2"/>
    <mergeCell ref="B3:M3"/>
    <mergeCell ref="B6:D6"/>
  </mergeCells>
  <phoneticPr fontId="0" type="noConversion"/>
  <pageMargins left="0.25" right="0.25" top="0.5" bottom="0.5" header="0.25" footer="0.25"/>
  <pageSetup scale="75" orientation="portrait" r:id="rId1"/>
  <headerFooter alignWithMargins="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96BAD-0CB6-4D34-BCED-96FB0B5E9B59}">
  <sheetPr codeName="Sheet204">
    <tabColor theme="5" tint="0.59999389629810485"/>
  </sheetPr>
  <dimension ref="B3:R49"/>
  <sheetViews>
    <sheetView zoomScaleNormal="100" zoomScaleSheetLayoutView="80" workbookViewId="0">
      <selection activeCell="B10" sqref="B10:F10"/>
    </sheetView>
  </sheetViews>
  <sheetFormatPr defaultColWidth="9.109375" defaultRowHeight="13.2"/>
  <cols>
    <col min="1" max="1" width="4.6640625" style="267" customWidth="1"/>
    <col min="2" max="2" width="4.88671875" style="267" customWidth="1"/>
    <col min="3" max="4" width="4.6640625" style="267" customWidth="1"/>
    <col min="5" max="5" width="30.6640625" style="267" customWidth="1"/>
    <col min="6" max="6" width="15.6640625" style="267" customWidth="1"/>
    <col min="7" max="8" width="16.6640625" style="267" customWidth="1"/>
    <col min="9" max="16384" width="9.109375" style="267"/>
  </cols>
  <sheetData>
    <row r="3" spans="2:18" ht="22.8">
      <c r="B3" s="1358" t="s">
        <v>823</v>
      </c>
      <c r="C3" s="1358"/>
      <c r="D3" s="1358"/>
      <c r="E3" s="1358"/>
      <c r="F3" s="1358"/>
      <c r="G3" s="1358"/>
      <c r="H3" s="1358"/>
    </row>
    <row r="4" spans="2:18" ht="22.8">
      <c r="B4" s="1358" t="s">
        <v>824</v>
      </c>
      <c r="C4" s="1358"/>
      <c r="D4" s="1358"/>
      <c r="E4" s="1358"/>
      <c r="F4" s="1358"/>
      <c r="G4" s="1358"/>
      <c r="H4" s="1358"/>
    </row>
    <row r="5" spans="2:18" ht="15.6">
      <c r="B5" s="1360"/>
      <c r="C5" s="1360"/>
      <c r="D5" s="1360"/>
      <c r="E5" s="1360"/>
      <c r="F5" s="1360"/>
      <c r="G5" s="1360"/>
      <c r="H5" s="1360"/>
    </row>
    <row r="6" spans="2:18" ht="13.8">
      <c r="B6" s="1362" t="s">
        <v>825</v>
      </c>
      <c r="C6" s="1362"/>
      <c r="D6" s="1362"/>
      <c r="E6" s="1362"/>
      <c r="F6" s="1362"/>
      <c r="G6" s="1362"/>
      <c r="H6" s="1362"/>
    </row>
    <row r="7" spans="2:18" ht="13.8">
      <c r="B7" s="1362" t="s">
        <v>829</v>
      </c>
      <c r="C7" s="1362"/>
      <c r="D7" s="1362"/>
      <c r="E7" s="1362"/>
      <c r="F7" s="1362"/>
      <c r="G7" s="1362"/>
      <c r="H7" s="1362"/>
    </row>
    <row r="8" spans="2:18" ht="13.8">
      <c r="B8" s="787"/>
      <c r="C8" s="787"/>
      <c r="D8" s="787"/>
      <c r="E8" s="787"/>
      <c r="F8" s="787"/>
      <c r="G8" s="787"/>
      <c r="H8" s="787"/>
    </row>
    <row r="9" spans="2:18" ht="15" customHeight="1" thickBot="1">
      <c r="B9" s="1359" t="str">
        <f>IF('KEY INPUTS'!C42 = "State Fiscal Year", 'KEY INPUTS'!F45,'KEY INPUTS'!D45)</f>
        <v>AS  AT  DECEMBER  31, 2024</v>
      </c>
      <c r="C9" s="1360"/>
      <c r="D9" s="1360"/>
      <c r="E9" s="1360"/>
      <c r="F9" s="1360"/>
      <c r="G9" s="1360"/>
      <c r="H9" s="1360"/>
    </row>
    <row r="10" spans="2:18" ht="36" customHeight="1" thickTop="1" thickBot="1">
      <c r="B10" s="1350" t="s">
        <v>95</v>
      </c>
      <c r="C10" s="1350"/>
      <c r="D10" s="1350"/>
      <c r="E10" s="1350"/>
      <c r="F10" s="1351"/>
      <c r="G10" s="304" t="s">
        <v>96</v>
      </c>
      <c r="H10" s="308" t="s">
        <v>97</v>
      </c>
    </row>
    <row r="11" spans="2:18" ht="21" customHeight="1" thickTop="1">
      <c r="B11" s="574" t="s">
        <v>351</v>
      </c>
      <c r="C11" s="574"/>
      <c r="D11" s="574"/>
      <c r="E11" s="574"/>
      <c r="F11" s="574"/>
      <c r="G11" s="497"/>
      <c r="H11" s="498"/>
      <c r="L11"/>
      <c r="M11"/>
      <c r="N11"/>
      <c r="O11"/>
      <c r="P11"/>
      <c r="Q11"/>
      <c r="R11"/>
    </row>
    <row r="12" spans="2:18" ht="21" customHeight="1">
      <c r="B12" s="495"/>
      <c r="C12" s="495"/>
      <c r="D12" s="495"/>
      <c r="E12" s="495"/>
      <c r="F12" s="495"/>
      <c r="G12" s="450"/>
      <c r="H12" s="457"/>
      <c r="L12"/>
      <c r="M12"/>
      <c r="N12"/>
      <c r="O12"/>
      <c r="P12"/>
      <c r="Q12"/>
      <c r="R12"/>
    </row>
    <row r="13" spans="2:18" ht="21" customHeight="1">
      <c r="B13" s="495"/>
      <c r="C13" s="495"/>
      <c r="D13" s="495"/>
      <c r="E13" s="495"/>
      <c r="F13" s="495"/>
      <c r="G13" s="450"/>
      <c r="H13" s="457"/>
      <c r="L13" s="294"/>
      <c r="M13"/>
      <c r="N13"/>
      <c r="O13"/>
      <c r="P13"/>
      <c r="Q13"/>
      <c r="R13"/>
    </row>
    <row r="14" spans="2:18" ht="21" customHeight="1">
      <c r="B14" s="495"/>
      <c r="C14" s="495"/>
      <c r="D14" s="495"/>
      <c r="E14" s="495"/>
      <c r="F14" s="495"/>
      <c r="G14" s="450"/>
      <c r="H14" s="457"/>
      <c r="L14"/>
      <c r="M14"/>
      <c r="N14"/>
      <c r="O14"/>
      <c r="P14"/>
      <c r="Q14"/>
      <c r="R14"/>
    </row>
    <row r="15" spans="2:18" ht="21" customHeight="1">
      <c r="B15" s="495"/>
      <c r="C15" s="495"/>
      <c r="D15" s="495"/>
      <c r="E15" s="495"/>
      <c r="F15" s="495"/>
      <c r="G15" s="450"/>
      <c r="H15" s="457"/>
      <c r="L15"/>
      <c r="M15"/>
      <c r="N15"/>
      <c r="O15"/>
      <c r="P15"/>
      <c r="Q15"/>
      <c r="R15"/>
    </row>
    <row r="16" spans="2:18" ht="21" customHeight="1">
      <c r="B16" s="495"/>
      <c r="C16" s="495"/>
      <c r="D16" s="495"/>
      <c r="E16" s="495"/>
      <c r="F16" s="495"/>
      <c r="G16" s="450"/>
      <c r="H16" s="457"/>
      <c r="L16"/>
      <c r="M16"/>
      <c r="N16"/>
      <c r="O16"/>
      <c r="P16"/>
      <c r="Q16"/>
      <c r="R16"/>
    </row>
    <row r="17" spans="2:18" ht="21" customHeight="1">
      <c r="B17" s="495"/>
      <c r="C17" s="495"/>
      <c r="D17" s="495"/>
      <c r="E17" s="495"/>
      <c r="F17" s="495"/>
      <c r="G17" s="450"/>
      <c r="H17" s="457"/>
      <c r="L17"/>
      <c r="M17"/>
      <c r="N17"/>
      <c r="O17"/>
      <c r="P17"/>
      <c r="Q17"/>
      <c r="R17"/>
    </row>
    <row r="18" spans="2:18" ht="21" customHeight="1">
      <c r="B18" s="495"/>
      <c r="C18" s="495"/>
      <c r="D18" s="495"/>
      <c r="E18" s="495"/>
      <c r="F18" s="495"/>
      <c r="G18" s="450"/>
      <c r="H18" s="457"/>
      <c r="L18"/>
      <c r="M18"/>
      <c r="N18"/>
      <c r="O18"/>
      <c r="P18"/>
      <c r="Q18"/>
      <c r="R18"/>
    </row>
    <row r="19" spans="2:18" ht="21" customHeight="1">
      <c r="B19" s="495"/>
      <c r="C19" s="495"/>
      <c r="D19" s="495"/>
      <c r="E19" s="495"/>
      <c r="F19" s="495"/>
      <c r="G19" s="450"/>
      <c r="H19" s="457"/>
      <c r="L19"/>
      <c r="M19"/>
      <c r="N19"/>
      <c r="O19"/>
      <c r="P19"/>
      <c r="Q19"/>
      <c r="R19"/>
    </row>
    <row r="20" spans="2:18" ht="21" customHeight="1">
      <c r="B20" s="495"/>
      <c r="C20" s="495"/>
      <c r="D20" s="495"/>
      <c r="E20" s="495"/>
      <c r="F20" s="495"/>
      <c r="G20" s="450"/>
      <c r="H20" s="457"/>
      <c r="L20"/>
      <c r="M20"/>
      <c r="N20"/>
      <c r="O20"/>
      <c r="P20"/>
      <c r="Q20"/>
      <c r="R20"/>
    </row>
    <row r="21" spans="2:18" ht="21" customHeight="1">
      <c r="B21" s="495"/>
      <c r="C21" s="495"/>
      <c r="D21" s="495"/>
      <c r="E21" s="495"/>
      <c r="F21" s="495"/>
      <c r="G21" s="450"/>
      <c r="H21" s="457"/>
      <c r="L21"/>
      <c r="M21"/>
      <c r="N21"/>
      <c r="O21"/>
      <c r="P21"/>
      <c r="Q21"/>
      <c r="R21"/>
    </row>
    <row r="22" spans="2:18" ht="21" customHeight="1">
      <c r="B22" s="495"/>
      <c r="C22" s="495"/>
      <c r="D22" s="495"/>
      <c r="E22" s="495"/>
      <c r="F22" s="495"/>
      <c r="G22" s="450"/>
      <c r="H22" s="457"/>
      <c r="L22"/>
      <c r="M22"/>
      <c r="N22"/>
      <c r="O22"/>
      <c r="P22"/>
      <c r="Q22"/>
      <c r="R22"/>
    </row>
    <row r="23" spans="2:18" ht="21" customHeight="1">
      <c r="B23" s="495"/>
      <c r="C23" s="495"/>
      <c r="D23" s="495"/>
      <c r="E23" s="495"/>
      <c r="F23" s="495"/>
      <c r="G23" s="450"/>
      <c r="H23" s="457"/>
      <c r="L23"/>
      <c r="M23"/>
      <c r="N23"/>
      <c r="O23"/>
      <c r="P23"/>
      <c r="Q23"/>
      <c r="R23"/>
    </row>
    <row r="24" spans="2:18" ht="21" customHeight="1">
      <c r="B24" s="495"/>
      <c r="C24" s="495"/>
      <c r="D24" s="495"/>
      <c r="E24" s="495"/>
      <c r="F24" s="495"/>
      <c r="G24" s="450"/>
      <c r="H24" s="457"/>
      <c r="L24"/>
      <c r="M24"/>
      <c r="N24"/>
      <c r="O24"/>
      <c r="P24"/>
      <c r="Q24"/>
      <c r="R24"/>
    </row>
    <row r="25" spans="2:18" ht="21" customHeight="1">
      <c r="B25" s="495"/>
      <c r="C25" s="495"/>
      <c r="D25" s="495"/>
      <c r="E25" s="495"/>
      <c r="F25" s="495"/>
      <c r="G25" s="450"/>
      <c r="H25" s="457"/>
      <c r="L25"/>
      <c r="M25"/>
      <c r="N25"/>
      <c r="O25"/>
      <c r="P25"/>
      <c r="Q25"/>
      <c r="R25"/>
    </row>
    <row r="26" spans="2:18" ht="21" customHeight="1">
      <c r="B26" s="495"/>
      <c r="C26" s="495"/>
      <c r="D26" s="495"/>
      <c r="E26" s="495"/>
      <c r="F26" s="495"/>
      <c r="G26" s="450"/>
      <c r="H26" s="457"/>
      <c r="L26"/>
      <c r="M26"/>
      <c r="N26"/>
      <c r="O26"/>
      <c r="P26"/>
      <c r="Q26"/>
      <c r="R26"/>
    </row>
    <row r="27" spans="2:18" ht="21" customHeight="1">
      <c r="B27" s="495"/>
      <c r="C27" s="495"/>
      <c r="D27" s="495"/>
      <c r="E27" s="495"/>
      <c r="F27" s="495"/>
      <c r="G27" s="450"/>
      <c r="H27" s="457"/>
      <c r="L27"/>
      <c r="M27"/>
      <c r="N27"/>
      <c r="O27"/>
      <c r="P27"/>
      <c r="Q27"/>
      <c r="R27"/>
    </row>
    <row r="28" spans="2:18" ht="21" customHeight="1">
      <c r="B28" s="495"/>
      <c r="C28" s="495"/>
      <c r="D28" s="495"/>
      <c r="E28" s="495"/>
      <c r="F28" s="495"/>
      <c r="G28" s="450"/>
      <c r="H28" s="457"/>
    </row>
    <row r="29" spans="2:18" ht="21" customHeight="1">
      <c r="B29" s="495"/>
      <c r="C29" s="495"/>
      <c r="D29" s="495"/>
      <c r="E29" s="495"/>
      <c r="F29" s="495"/>
      <c r="G29" s="450"/>
      <c r="H29" s="457"/>
    </row>
    <row r="30" spans="2:18" ht="21" customHeight="1">
      <c r="B30" s="495"/>
      <c r="C30" s="495"/>
      <c r="D30" s="495"/>
      <c r="E30" s="495"/>
      <c r="F30" s="495"/>
      <c r="G30" s="450"/>
      <c r="H30" s="457"/>
    </row>
    <row r="31" spans="2:18" ht="21" customHeight="1">
      <c r="B31" s="495"/>
      <c r="C31" s="495"/>
      <c r="D31" s="495"/>
      <c r="E31" s="495"/>
      <c r="F31" s="495"/>
      <c r="G31" s="450"/>
      <c r="H31" s="457"/>
    </row>
    <row r="32" spans="2:18" ht="21" customHeight="1">
      <c r="B32" s="495"/>
      <c r="C32" s="495"/>
      <c r="D32" s="495"/>
      <c r="E32" s="495"/>
      <c r="F32" s="495"/>
      <c r="G32" s="450"/>
      <c r="H32" s="457"/>
    </row>
    <row r="33" spans="2:8" ht="21" customHeight="1">
      <c r="B33" s="495"/>
      <c r="C33" s="495"/>
      <c r="D33" s="495"/>
      <c r="E33" s="495"/>
      <c r="F33" s="495"/>
      <c r="G33" s="450"/>
      <c r="H33" s="457"/>
    </row>
    <row r="34" spans="2:8" ht="21" customHeight="1">
      <c r="B34" s="495"/>
      <c r="C34" s="495"/>
      <c r="D34" s="495"/>
      <c r="E34" s="495"/>
      <c r="F34" s="495"/>
      <c r="G34" s="450"/>
      <c r="H34" s="457"/>
    </row>
    <row r="35" spans="2:8" ht="21" customHeight="1">
      <c r="B35" s="495"/>
      <c r="C35" s="495"/>
      <c r="D35" s="495"/>
      <c r="E35" s="495"/>
      <c r="F35" s="495"/>
      <c r="G35" s="450"/>
      <c r="H35" s="457"/>
    </row>
    <row r="36" spans="2:8" ht="21" customHeight="1">
      <c r="B36" s="495"/>
      <c r="C36" s="495"/>
      <c r="D36" s="495"/>
      <c r="E36" s="495"/>
      <c r="F36" s="495"/>
      <c r="G36" s="450"/>
      <c r="H36" s="457"/>
    </row>
    <row r="37" spans="2:8" ht="21" customHeight="1">
      <c r="B37" s="495"/>
      <c r="C37" s="495"/>
      <c r="D37" s="495"/>
      <c r="E37" s="495"/>
      <c r="F37" s="495"/>
      <c r="G37" s="450"/>
      <c r="H37" s="457"/>
    </row>
    <row r="38" spans="2:8" ht="21" customHeight="1">
      <c r="B38" s="788" t="s">
        <v>3200</v>
      </c>
      <c r="C38" s="788"/>
      <c r="D38" s="788"/>
      <c r="E38" s="788"/>
      <c r="F38" s="788"/>
      <c r="G38" s="450"/>
      <c r="H38" s="781">
        <f>+'51-Utility3'!G23</f>
        <v>0</v>
      </c>
    </row>
    <row r="39" spans="2:8" ht="21" customHeight="1">
      <c r="B39" s="788" t="s">
        <v>3201</v>
      </c>
      <c r="C39" s="788"/>
      <c r="D39" s="788"/>
      <c r="E39" s="788"/>
      <c r="F39" s="788"/>
      <c r="G39" s="450"/>
      <c r="H39" s="781">
        <f>+'49-Utility3'!G11</f>
        <v>0</v>
      </c>
    </row>
    <row r="40" spans="2:8" ht="21" customHeight="1">
      <c r="B40" s="788" t="s">
        <v>797</v>
      </c>
      <c r="C40" s="788"/>
      <c r="D40" s="788"/>
      <c r="E40" s="788"/>
      <c r="F40" s="788"/>
      <c r="G40" s="450"/>
      <c r="H40" s="781">
        <f>'43-Utility3'!L20</f>
        <v>0</v>
      </c>
    </row>
    <row r="41" spans="2:8" ht="21" customHeight="1">
      <c r="B41" s="495"/>
      <c r="C41" s="495"/>
      <c r="D41" s="495"/>
      <c r="E41" s="495"/>
      <c r="F41" s="495"/>
      <c r="G41" s="450"/>
      <c r="H41" s="457"/>
    </row>
    <row r="42" spans="2:8" ht="21" customHeight="1">
      <c r="B42" s="495"/>
      <c r="C42" s="495"/>
      <c r="D42" s="495"/>
      <c r="E42" s="495"/>
      <c r="F42" s="495"/>
      <c r="G42" s="450"/>
      <c r="H42" s="457"/>
    </row>
    <row r="43" spans="2:8" ht="21" customHeight="1">
      <c r="B43" s="248"/>
      <c r="C43" s="248"/>
      <c r="D43" s="248"/>
      <c r="E43" s="248"/>
      <c r="F43" s="248"/>
      <c r="G43" s="767">
        <f>SUM(G11:G42)</f>
        <v>0</v>
      </c>
      <c r="H43" s="790">
        <f>SUM(H11:H42)</f>
        <v>0</v>
      </c>
    </row>
    <row r="44" spans="2:8">
      <c r="B44" s="1352" t="s">
        <v>98</v>
      </c>
      <c r="C44" s="1352"/>
      <c r="D44" s="1352"/>
      <c r="E44" s="1352"/>
      <c r="F44" s="1352"/>
      <c r="G44" s="1352"/>
      <c r="H44" s="1352"/>
    </row>
    <row r="45" spans="2:8">
      <c r="B45" s="302"/>
      <c r="C45" s="302"/>
      <c r="D45" s="302"/>
      <c r="E45" s="302"/>
      <c r="F45" s="302"/>
      <c r="G45" s="302"/>
      <c r="H45" s="302"/>
    </row>
    <row r="46" spans="2:8">
      <c r="B46" s="302"/>
      <c r="C46" s="302"/>
      <c r="D46" s="302"/>
      <c r="E46" s="302"/>
      <c r="F46" s="302"/>
      <c r="G46" s="302"/>
      <c r="H46" s="302"/>
    </row>
    <row r="47" spans="2:8">
      <c r="B47" s="302"/>
      <c r="C47" s="302"/>
      <c r="D47" s="302"/>
      <c r="E47" s="302"/>
      <c r="F47" s="302"/>
      <c r="G47" s="302"/>
      <c r="H47" s="302"/>
    </row>
    <row r="48" spans="2:8">
      <c r="B48" s="302"/>
      <c r="C48" s="302"/>
      <c r="D48" s="302"/>
      <c r="E48" s="302"/>
      <c r="F48" s="302"/>
      <c r="G48" s="302"/>
      <c r="H48" s="302"/>
    </row>
    <row r="49" spans="2:8" ht="13.8">
      <c r="B49" s="1353" t="s">
        <v>3140</v>
      </c>
      <c r="C49" s="1353"/>
      <c r="D49" s="1353"/>
      <c r="E49" s="1353"/>
      <c r="F49" s="1353"/>
      <c r="G49" s="1353"/>
      <c r="H49" s="1353"/>
    </row>
  </sheetData>
  <sheetProtection algorithmName="SHA-512" hashValue="kvGTn/sJCyU/UznlIzZGTeABf20KHG7AMhZIOYqivlac5sQSLWOiuCBiI6vL/0YqMChW1QPxXcQVlS2LEW4JSA==" saltValue="lOXCX+oJEwcC71a4Suyc5w=="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DF026-F6B9-4032-BE67-D4FCB8F4BD5D}">
  <sheetPr codeName="Sheet205">
    <tabColor theme="5" tint="0.59999389629810485"/>
  </sheetPr>
  <dimension ref="A2:V27"/>
  <sheetViews>
    <sheetView zoomScaleNormal="100" zoomScaleSheetLayoutView="80" workbookViewId="0">
      <selection activeCell="L7" sqref="L7"/>
    </sheetView>
  </sheetViews>
  <sheetFormatPr defaultColWidth="9.109375" defaultRowHeight="13.2"/>
  <cols>
    <col min="1" max="1" width="5.6640625" style="267" customWidth="1"/>
    <col min="2" max="3" width="4.88671875" style="267" customWidth="1"/>
    <col min="4" max="4" width="30.6640625" style="267" customWidth="1"/>
    <col min="5" max="12" width="15.6640625" style="267" customWidth="1"/>
    <col min="13" max="16384" width="9.109375" style="267"/>
  </cols>
  <sheetData>
    <row r="2" spans="1:22" ht="20.399999999999999">
      <c r="B2" s="1363" t="str">
        <f>"ANALYSIS  OF "&amp;UPPER('KEY INPUTS'!D56)&amp;" UTILITY  ASSESSMENT  TRUST  CASH  AND  INVESTMENTS"</f>
        <v>ANALYSIS  OF  UTILITY  ASSESSMENT  TRUST  CASH  AND  INVESTMENTS</v>
      </c>
      <c r="C2" s="1363"/>
      <c r="D2" s="1363"/>
      <c r="E2" s="1363"/>
      <c r="F2" s="1363"/>
      <c r="G2" s="1363"/>
      <c r="H2" s="1363"/>
      <c r="I2" s="1363"/>
      <c r="J2" s="1363"/>
      <c r="K2" s="1363"/>
      <c r="L2" s="1363"/>
    </row>
    <row r="3" spans="1:22" ht="21" thickBot="1">
      <c r="B3" s="1363" t="s">
        <v>830</v>
      </c>
      <c r="C3" s="1363"/>
      <c r="D3" s="1363"/>
      <c r="E3" s="1363"/>
      <c r="F3" s="1363"/>
      <c r="G3" s="1363"/>
      <c r="H3" s="1363"/>
      <c r="I3" s="1363"/>
      <c r="J3" s="1363"/>
      <c r="K3" s="1363"/>
      <c r="L3" s="1363"/>
    </row>
    <row r="4" spans="1:22" ht="13.8" thickTop="1">
      <c r="B4" s="323"/>
      <c r="C4" s="323"/>
      <c r="D4" s="323"/>
      <c r="E4" s="324" t="s">
        <v>528</v>
      </c>
      <c r="F4" s="323"/>
      <c r="G4" s="323"/>
      <c r="H4" s="323"/>
      <c r="I4" s="323"/>
      <c r="J4" s="791"/>
      <c r="K4" s="323"/>
      <c r="L4" s="322"/>
    </row>
    <row r="5" spans="1:22" ht="15.6">
      <c r="C5" s="267" t="s">
        <v>536</v>
      </c>
      <c r="E5" s="320" t="s">
        <v>529</v>
      </c>
      <c r="F5" s="1364" t="s">
        <v>530</v>
      </c>
      <c r="G5" s="1365"/>
      <c r="H5" s="1365"/>
      <c r="I5" s="1366"/>
      <c r="J5" s="792"/>
      <c r="L5" s="321" t="s">
        <v>529</v>
      </c>
    </row>
    <row r="6" spans="1:22">
      <c r="C6" s="267" t="s">
        <v>537</v>
      </c>
      <c r="E6" s="793" t="str">
        <f>IF('KEY INPUTS'!C42 = "State Fiscal Year", 'KEY INPUTS'!F46,'KEY INPUTS'!D46)</f>
        <v>Dec. 31, 2023</v>
      </c>
      <c r="F6" s="320" t="s">
        <v>531</v>
      </c>
      <c r="G6" s="320" t="s">
        <v>248</v>
      </c>
      <c r="H6" s="792"/>
      <c r="I6" s="792"/>
      <c r="J6" s="792"/>
      <c r="K6" s="319" t="s">
        <v>535</v>
      </c>
      <c r="L6" s="794" t="str">
        <f>IF('KEY INPUTS'!C42 = "State Fiscal Year", 'KEY INPUTS'!F47,'KEY INPUTS'!D47)</f>
        <v>Dec. 31, 2024</v>
      </c>
    </row>
    <row r="7" spans="1:22" ht="13.8" thickBot="1">
      <c r="B7" s="318"/>
      <c r="C7" s="318"/>
      <c r="D7" s="318"/>
      <c r="E7" s="316"/>
      <c r="F7" s="317" t="s">
        <v>532</v>
      </c>
      <c r="G7" s="317" t="s">
        <v>534</v>
      </c>
      <c r="H7" s="316"/>
      <c r="I7" s="316"/>
      <c r="J7" s="316"/>
      <c r="K7" s="315"/>
      <c r="L7" s="314"/>
    </row>
    <row r="8" spans="1:22" ht="21" customHeight="1" thickTop="1">
      <c r="B8" s="313" t="s">
        <v>621</v>
      </c>
      <c r="C8" s="313"/>
      <c r="D8" s="795"/>
      <c r="E8" s="757" t="s">
        <v>627</v>
      </c>
      <c r="F8" s="757" t="s">
        <v>627</v>
      </c>
      <c r="G8" s="757" t="s">
        <v>627</v>
      </c>
      <c r="H8" s="757" t="s">
        <v>627</v>
      </c>
      <c r="I8" s="757" t="s">
        <v>627</v>
      </c>
      <c r="J8" s="757" t="s">
        <v>627</v>
      </c>
      <c r="K8" s="757" t="s">
        <v>627</v>
      </c>
      <c r="L8" s="641" t="s">
        <v>627</v>
      </c>
      <c r="P8"/>
      <c r="Q8"/>
      <c r="R8"/>
      <c r="S8"/>
      <c r="T8"/>
      <c r="U8"/>
      <c r="V8"/>
    </row>
    <row r="9" spans="1:22" ht="21" customHeight="1">
      <c r="B9" s="495"/>
      <c r="C9" s="495"/>
      <c r="D9" s="499"/>
      <c r="E9" s="450"/>
      <c r="F9" s="450"/>
      <c r="G9" s="450"/>
      <c r="H9" s="450"/>
      <c r="I9" s="450"/>
      <c r="J9" s="450"/>
      <c r="K9" s="450"/>
      <c r="L9" s="753">
        <f>+E9+F9+G9+H9+I9+J9-K9</f>
        <v>0</v>
      </c>
      <c r="P9"/>
      <c r="Q9"/>
      <c r="R9"/>
      <c r="S9"/>
      <c r="T9"/>
      <c r="U9"/>
      <c r="V9"/>
    </row>
    <row r="10" spans="1:22" ht="21" customHeight="1">
      <c r="B10" s="495"/>
      <c r="C10" s="495"/>
      <c r="D10" s="499"/>
      <c r="E10" s="450"/>
      <c r="F10" s="450"/>
      <c r="G10" s="450"/>
      <c r="H10" s="450"/>
      <c r="I10" s="450"/>
      <c r="J10" s="450"/>
      <c r="K10" s="450"/>
      <c r="L10" s="753">
        <f t="shared" ref="L10:L25" si="0">+E10+F10+G10+H10+I10+J10-K10</f>
        <v>0</v>
      </c>
      <c r="P10" s="294"/>
      <c r="Q10"/>
      <c r="R10"/>
      <c r="S10"/>
      <c r="T10"/>
      <c r="U10"/>
      <c r="V10"/>
    </row>
    <row r="11" spans="1:22" ht="21" customHeight="1">
      <c r="B11" s="495"/>
      <c r="C11" s="495"/>
      <c r="D11" s="499"/>
      <c r="E11" s="450"/>
      <c r="F11" s="450"/>
      <c r="G11" s="450"/>
      <c r="H11" s="450"/>
      <c r="I11" s="450"/>
      <c r="J11" s="450"/>
      <c r="K11" s="450"/>
      <c r="L11" s="753">
        <f t="shared" si="0"/>
        <v>0</v>
      </c>
      <c r="P11"/>
      <c r="Q11"/>
      <c r="R11"/>
      <c r="S11"/>
      <c r="T11"/>
      <c r="U11"/>
      <c r="V11"/>
    </row>
    <row r="12" spans="1:22" ht="21" customHeight="1">
      <c r="B12" s="495"/>
      <c r="C12" s="495"/>
      <c r="D12" s="499"/>
      <c r="E12" s="450"/>
      <c r="F12" s="450"/>
      <c r="G12" s="450"/>
      <c r="H12" s="450"/>
      <c r="I12" s="450"/>
      <c r="J12" s="450"/>
      <c r="K12" s="450"/>
      <c r="L12" s="753">
        <f t="shared" si="0"/>
        <v>0</v>
      </c>
      <c r="P12"/>
      <c r="Q12"/>
      <c r="R12"/>
      <c r="S12"/>
      <c r="T12"/>
      <c r="U12"/>
      <c r="V12"/>
    </row>
    <row r="13" spans="1:22" ht="21" customHeight="1">
      <c r="B13" s="495"/>
      <c r="C13" s="495"/>
      <c r="D13" s="499"/>
      <c r="E13" s="453"/>
      <c r="F13" s="450"/>
      <c r="G13" s="450"/>
      <c r="H13" s="450"/>
      <c r="I13" s="450"/>
      <c r="J13" s="450"/>
      <c r="K13" s="450"/>
      <c r="L13" s="753">
        <f t="shared" si="0"/>
        <v>0</v>
      </c>
      <c r="P13"/>
      <c r="Q13"/>
      <c r="R13"/>
      <c r="S13"/>
      <c r="T13"/>
      <c r="U13"/>
      <c r="V13"/>
    </row>
    <row r="14" spans="1:22" ht="21" customHeight="1">
      <c r="B14" s="248" t="s">
        <v>622</v>
      </c>
      <c r="C14" s="248"/>
      <c r="D14" s="312"/>
      <c r="E14" s="702" t="s">
        <v>627</v>
      </c>
      <c r="F14" s="702" t="s">
        <v>627</v>
      </c>
      <c r="G14" s="702" t="s">
        <v>627</v>
      </c>
      <c r="H14" s="702" t="s">
        <v>627</v>
      </c>
      <c r="I14" s="702" t="s">
        <v>627</v>
      </c>
      <c r="J14" s="702" t="s">
        <v>627</v>
      </c>
      <c r="K14" s="702" t="s">
        <v>627</v>
      </c>
      <c r="L14" s="643" t="s">
        <v>627</v>
      </c>
      <c r="P14"/>
      <c r="Q14"/>
      <c r="R14"/>
      <c r="S14"/>
      <c r="T14"/>
      <c r="U14"/>
      <c r="V14"/>
    </row>
    <row r="15" spans="1:22" ht="21" customHeight="1">
      <c r="A15" s="1367" t="s">
        <v>3141</v>
      </c>
      <c r="B15" s="495"/>
      <c r="C15" s="495"/>
      <c r="D15" s="499"/>
      <c r="E15" s="450"/>
      <c r="F15" s="450"/>
      <c r="G15" s="450"/>
      <c r="H15" s="450"/>
      <c r="I15" s="450"/>
      <c r="J15" s="450"/>
      <c r="K15" s="450"/>
      <c r="L15" s="753">
        <f t="shared" si="0"/>
        <v>0</v>
      </c>
      <c r="P15"/>
      <c r="Q15"/>
      <c r="R15"/>
      <c r="S15"/>
      <c r="T15"/>
      <c r="U15"/>
      <c r="V15"/>
    </row>
    <row r="16" spans="1:22" ht="21" customHeight="1">
      <c r="A16" s="1367"/>
      <c r="B16" s="495"/>
      <c r="C16" s="495"/>
      <c r="D16" s="499"/>
      <c r="E16" s="450"/>
      <c r="F16" s="450"/>
      <c r="G16" s="450"/>
      <c r="H16" s="450"/>
      <c r="I16" s="450"/>
      <c r="J16" s="450"/>
      <c r="K16" s="450"/>
      <c r="L16" s="753">
        <f t="shared" si="0"/>
        <v>0</v>
      </c>
      <c r="P16"/>
      <c r="Q16"/>
      <c r="R16"/>
      <c r="S16"/>
      <c r="T16"/>
      <c r="U16"/>
      <c r="V16"/>
    </row>
    <row r="17" spans="1:22" ht="21" customHeight="1">
      <c r="A17" s="1367"/>
      <c r="B17" s="495"/>
      <c r="C17" s="495"/>
      <c r="D17" s="499"/>
      <c r="E17" s="450"/>
      <c r="F17" s="450"/>
      <c r="G17" s="450"/>
      <c r="H17" s="450"/>
      <c r="I17" s="450"/>
      <c r="J17" s="450"/>
      <c r="K17" s="450"/>
      <c r="L17" s="753">
        <f t="shared" si="0"/>
        <v>0</v>
      </c>
      <c r="P17"/>
      <c r="Q17"/>
      <c r="R17"/>
      <c r="S17"/>
      <c r="T17"/>
      <c r="U17"/>
      <c r="V17"/>
    </row>
    <row r="18" spans="1:22" ht="21" customHeight="1">
      <c r="B18" s="495"/>
      <c r="C18" s="495"/>
      <c r="D18" s="499"/>
      <c r="E18" s="450"/>
      <c r="F18" s="450"/>
      <c r="G18" s="450"/>
      <c r="H18" s="450"/>
      <c r="I18" s="450"/>
      <c r="J18" s="450"/>
      <c r="K18" s="450"/>
      <c r="L18" s="753">
        <f t="shared" si="0"/>
        <v>0</v>
      </c>
      <c r="P18"/>
      <c r="Q18"/>
      <c r="R18"/>
      <c r="S18"/>
      <c r="T18"/>
      <c r="U18"/>
      <c r="V18"/>
    </row>
    <row r="19" spans="1:22" ht="21" customHeight="1">
      <c r="B19" s="248" t="s">
        <v>623</v>
      </c>
      <c r="C19" s="248"/>
      <c r="D19" s="312"/>
      <c r="E19" s="450"/>
      <c r="F19" s="450"/>
      <c r="G19" s="450"/>
      <c r="H19" s="450"/>
      <c r="I19" s="450"/>
      <c r="J19" s="450"/>
      <c r="K19" s="450"/>
      <c r="L19" s="753">
        <f t="shared" si="0"/>
        <v>0</v>
      </c>
      <c r="P19"/>
      <c r="Q19"/>
      <c r="R19"/>
      <c r="S19"/>
      <c r="T19"/>
      <c r="U19"/>
      <c r="V19"/>
    </row>
    <row r="20" spans="1:22" ht="21" customHeight="1">
      <c r="B20" s="248" t="s">
        <v>624</v>
      </c>
      <c r="C20" s="248"/>
      <c r="D20" s="312"/>
      <c r="E20" s="450"/>
      <c r="F20" s="450"/>
      <c r="G20" s="450"/>
      <c r="H20" s="450"/>
      <c r="I20" s="450"/>
      <c r="J20" s="450"/>
      <c r="K20" s="450"/>
      <c r="L20" s="753">
        <f t="shared" si="0"/>
        <v>0</v>
      </c>
      <c r="P20"/>
      <c r="Q20"/>
      <c r="R20"/>
      <c r="S20"/>
      <c r="T20"/>
      <c r="U20"/>
      <c r="V20"/>
    </row>
    <row r="21" spans="1:22" ht="21" customHeight="1">
      <c r="B21" s="248" t="s">
        <v>249</v>
      </c>
      <c r="C21" s="248"/>
      <c r="D21" s="312"/>
      <c r="E21" s="702" t="s">
        <v>627</v>
      </c>
      <c r="F21" s="702" t="s">
        <v>627</v>
      </c>
      <c r="G21" s="702" t="s">
        <v>627</v>
      </c>
      <c r="H21" s="702" t="s">
        <v>627</v>
      </c>
      <c r="I21" s="702" t="s">
        <v>627</v>
      </c>
      <c r="J21" s="702" t="s">
        <v>627</v>
      </c>
      <c r="K21" s="702" t="s">
        <v>627</v>
      </c>
      <c r="L21" s="643" t="s">
        <v>627</v>
      </c>
      <c r="P21"/>
      <c r="Q21"/>
      <c r="R21"/>
      <c r="S21"/>
      <c r="T21"/>
      <c r="U21"/>
      <c r="V21"/>
    </row>
    <row r="22" spans="1:22" ht="21" customHeight="1">
      <c r="B22" s="495"/>
      <c r="C22" s="495"/>
      <c r="D22" s="499"/>
      <c r="E22" s="450"/>
      <c r="F22" s="450"/>
      <c r="G22" s="450"/>
      <c r="H22" s="450"/>
      <c r="I22" s="450"/>
      <c r="J22" s="450"/>
      <c r="K22" s="450"/>
      <c r="L22" s="753">
        <f t="shared" si="0"/>
        <v>0</v>
      </c>
      <c r="P22"/>
      <c r="Q22"/>
      <c r="R22"/>
      <c r="S22"/>
      <c r="T22"/>
      <c r="U22"/>
      <c r="V22"/>
    </row>
    <row r="23" spans="1:22" ht="21" customHeight="1">
      <c r="B23" s="495"/>
      <c r="C23" s="495"/>
      <c r="D23" s="499"/>
      <c r="E23" s="450"/>
      <c r="F23" s="450"/>
      <c r="G23" s="450"/>
      <c r="H23" s="450"/>
      <c r="I23" s="450"/>
      <c r="J23" s="450"/>
      <c r="K23" s="450"/>
      <c r="L23" s="753">
        <f t="shared" si="0"/>
        <v>0</v>
      </c>
      <c r="P23"/>
      <c r="Q23"/>
      <c r="R23"/>
      <c r="S23"/>
      <c r="T23"/>
      <c r="U23"/>
      <c r="V23"/>
    </row>
    <row r="24" spans="1:22" ht="21" customHeight="1">
      <c r="B24" s="495"/>
      <c r="C24" s="495"/>
      <c r="D24" s="499"/>
      <c r="E24" s="450"/>
      <c r="F24" s="450"/>
      <c r="G24" s="450"/>
      <c r="H24" s="450"/>
      <c r="I24" s="450"/>
      <c r="J24" s="450"/>
      <c r="K24" s="450"/>
      <c r="L24" s="753">
        <f t="shared" si="0"/>
        <v>0</v>
      </c>
      <c r="P24"/>
      <c r="Q24"/>
      <c r="R24"/>
      <c r="S24"/>
      <c r="T24"/>
      <c r="U24"/>
      <c r="V24"/>
    </row>
    <row r="25" spans="1:22" ht="21" customHeight="1" thickBot="1">
      <c r="B25" s="495"/>
      <c r="C25" s="495"/>
      <c r="D25" s="499"/>
      <c r="E25" s="475"/>
      <c r="F25" s="475"/>
      <c r="G25" s="475"/>
      <c r="H25" s="475"/>
      <c r="I25" s="475"/>
      <c r="J25" s="475"/>
      <c r="K25" s="475"/>
      <c r="L25" s="796">
        <f t="shared" si="0"/>
        <v>0</v>
      </c>
    </row>
    <row r="26" spans="1:22" ht="21" customHeight="1" thickTop="1" thickBot="1">
      <c r="B26" s="311"/>
      <c r="C26" s="311"/>
      <c r="D26" s="310"/>
      <c r="E26" s="755">
        <f t="shared" ref="E26:K26" si="1">SUM(E9:E25)</f>
        <v>0</v>
      </c>
      <c r="F26" s="755">
        <f t="shared" si="1"/>
        <v>0</v>
      </c>
      <c r="G26" s="755">
        <f t="shared" si="1"/>
        <v>0</v>
      </c>
      <c r="H26" s="755">
        <f t="shared" si="1"/>
        <v>0</v>
      </c>
      <c r="I26" s="755">
        <f t="shared" si="1"/>
        <v>0</v>
      </c>
      <c r="J26" s="755">
        <f t="shared" si="1"/>
        <v>0</v>
      </c>
      <c r="K26" s="755">
        <f t="shared" si="1"/>
        <v>0</v>
      </c>
      <c r="L26" s="797">
        <f>SUM(L9:L25)</f>
        <v>0</v>
      </c>
    </row>
    <row r="27" spans="1:22" ht="13.8" thickTop="1">
      <c r="B27" s="309" t="s">
        <v>626</v>
      </c>
    </row>
  </sheetData>
  <sheetProtection algorithmName="SHA-512" hashValue="pPd9Jb4Wg5kB7iw7KeZiU9wuntavmAOe+9fTNz4fbzFbzR4JmK6xQXhIrxboSdb4kqudwMpAbgyo1fBbFSueHg==" saltValue="54D+lACZJGrmi9Cm2t7tIA==" spinCount="100000"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4955A-8E34-491A-8450-72260385E61C}">
  <sheetPr codeName="Sheet206">
    <tabColor theme="5" tint="0.59999389629810485"/>
  </sheetPr>
  <dimension ref="B2:T55"/>
  <sheetViews>
    <sheetView topLeftCell="A16" zoomScaleNormal="100" zoomScaleSheetLayoutView="80" workbookViewId="0">
      <selection activeCell="J33" sqref="J33"/>
    </sheetView>
  </sheetViews>
  <sheetFormatPr defaultColWidth="8.88671875" defaultRowHeight="13.2"/>
  <cols>
    <col min="1" max="1" width="4.6640625" style="267" customWidth="1"/>
    <col min="2" max="3" width="3.6640625" style="267" customWidth="1"/>
    <col min="4" max="4" width="4.6640625" style="267" customWidth="1"/>
    <col min="5" max="5" width="8.88671875" style="267"/>
    <col min="6" max="6" width="16.6640625" style="267" customWidth="1"/>
    <col min="7" max="7" width="8.6640625" style="267" customWidth="1"/>
    <col min="8" max="10" width="16.6640625" style="267" customWidth="1"/>
    <col min="11" max="11" width="8.88671875" style="267"/>
    <col min="12" max="12" width="11.33203125" style="267" bestFit="1" customWidth="1"/>
    <col min="13" max="16384" width="8.88671875" style="267"/>
  </cols>
  <sheetData>
    <row r="2" spans="2:20" ht="22.8">
      <c r="B2" s="1358" t="str">
        <f>"SCHEDULE OF "&amp;UPPER('KEY INPUTS'!D56)&amp;" UTILITY BUDGET  -  "&amp;IF('KEY INPUTS'!C42="State Fiscal Year","FY "&amp;'KEY INPUTS'!D33&amp;"",'KEY INPUTS'!D34)&amp;""</f>
        <v>SCHEDULE OF  UTILITY BUDGET  -  2024</v>
      </c>
      <c r="C2" s="1358"/>
      <c r="D2" s="1358"/>
      <c r="E2" s="1358"/>
      <c r="F2" s="1358"/>
      <c r="G2" s="1358"/>
      <c r="H2" s="1358"/>
      <c r="I2" s="1358"/>
      <c r="J2" s="1358"/>
    </row>
    <row r="3" spans="2:20" ht="12" customHeight="1">
      <c r="B3" s="354"/>
      <c r="C3" s="354"/>
      <c r="D3" s="354"/>
      <c r="E3" s="354"/>
      <c r="F3" s="354"/>
      <c r="G3" s="354"/>
      <c r="H3" s="354"/>
      <c r="I3" s="354"/>
      <c r="J3" s="354"/>
    </row>
    <row r="4" spans="2:20" ht="17.25" customHeight="1" thickBot="1">
      <c r="B4" s="1372" t="s">
        <v>831</v>
      </c>
      <c r="C4" s="1372"/>
      <c r="D4" s="1372"/>
      <c r="E4" s="1372"/>
      <c r="F4" s="1372"/>
      <c r="G4" s="1372"/>
      <c r="H4" s="1372"/>
      <c r="I4" s="1372"/>
      <c r="J4" s="1372"/>
    </row>
    <row r="5" spans="2:20" ht="13.8" thickTop="1">
      <c r="B5" s="1368" t="s">
        <v>165</v>
      </c>
      <c r="C5" s="1368"/>
      <c r="D5" s="1368"/>
      <c r="E5" s="1368"/>
      <c r="F5" s="1368"/>
      <c r="G5" s="1369"/>
      <c r="H5" s="324" t="s">
        <v>534</v>
      </c>
      <c r="I5" s="324" t="s">
        <v>637</v>
      </c>
      <c r="J5" s="353" t="s">
        <v>319</v>
      </c>
    </row>
    <row r="6" spans="2:20" ht="13.8" thickBot="1">
      <c r="B6" s="1370"/>
      <c r="C6" s="1370"/>
      <c r="D6" s="1370"/>
      <c r="E6" s="1370"/>
      <c r="F6" s="1370"/>
      <c r="G6" s="1371"/>
      <c r="H6" s="352"/>
      <c r="I6" s="352" t="s">
        <v>318</v>
      </c>
      <c r="J6" s="351" t="s">
        <v>320</v>
      </c>
    </row>
    <row r="7" spans="2:20" ht="21" customHeight="1" thickTop="1">
      <c r="B7" s="313" t="s">
        <v>3154</v>
      </c>
      <c r="C7" s="313"/>
      <c r="D7" s="313"/>
      <c r="E7" s="313"/>
      <c r="F7" s="313"/>
      <c r="G7" s="350"/>
      <c r="H7" s="454"/>
      <c r="I7" s="887">
        <f>H7</f>
        <v>0</v>
      </c>
      <c r="J7" s="827">
        <f>+I7-H7</f>
        <v>0</v>
      </c>
    </row>
    <row r="8" spans="2:20" ht="10.5" customHeight="1">
      <c r="B8" s="309" t="s">
        <v>3153</v>
      </c>
      <c r="G8" s="347"/>
      <c r="H8" s="886"/>
      <c r="I8" s="886"/>
      <c r="J8" s="776"/>
    </row>
    <row r="9" spans="2:20">
      <c r="B9" s="333" t="s">
        <v>168</v>
      </c>
      <c r="C9" s="333"/>
      <c r="D9" s="333"/>
      <c r="E9" s="333"/>
      <c r="F9" s="333"/>
      <c r="G9" s="341"/>
      <c r="H9" s="500"/>
      <c r="I9" s="500"/>
      <c r="J9" s="638">
        <f t="shared" ref="J9:J15" si="0">+I9-H9</f>
        <v>0</v>
      </c>
    </row>
    <row r="10" spans="2:20" ht="21" customHeight="1">
      <c r="B10" s="495"/>
      <c r="C10" s="495"/>
      <c r="D10" s="495"/>
      <c r="E10" s="495"/>
      <c r="F10" s="495"/>
      <c r="G10" s="798"/>
      <c r="H10" s="596"/>
      <c r="I10" s="596"/>
      <c r="J10" s="888">
        <f t="shared" si="0"/>
        <v>0</v>
      </c>
      <c r="N10"/>
      <c r="O10"/>
      <c r="P10"/>
      <c r="Q10"/>
      <c r="R10"/>
      <c r="S10"/>
      <c r="T10"/>
    </row>
    <row r="11" spans="2:20" ht="21" customHeight="1">
      <c r="B11" s="495"/>
      <c r="C11" s="495"/>
      <c r="D11" s="495"/>
      <c r="E11" s="495"/>
      <c r="F11" s="495"/>
      <c r="G11" s="798"/>
      <c r="H11" s="596"/>
      <c r="I11" s="596"/>
      <c r="J11" s="780">
        <f t="shared" si="0"/>
        <v>0</v>
      </c>
      <c r="N11"/>
      <c r="O11"/>
      <c r="P11"/>
      <c r="Q11"/>
      <c r="R11"/>
      <c r="S11"/>
      <c r="T11"/>
    </row>
    <row r="12" spans="2:20" ht="21" customHeight="1">
      <c r="B12" s="495"/>
      <c r="C12" s="495"/>
      <c r="D12" s="495"/>
      <c r="E12" s="495"/>
      <c r="F12" s="495"/>
      <c r="G12" s="798"/>
      <c r="H12" s="596"/>
      <c r="I12" s="596"/>
      <c r="J12" s="780">
        <f t="shared" si="0"/>
        <v>0</v>
      </c>
      <c r="N12" s="294"/>
      <c r="O12"/>
      <c r="P12"/>
      <c r="Q12"/>
      <c r="R12"/>
      <c r="S12"/>
      <c r="T12"/>
    </row>
    <row r="13" spans="2:20" ht="21" customHeight="1">
      <c r="B13" s="495"/>
      <c r="C13" s="495"/>
      <c r="D13" s="495"/>
      <c r="E13" s="495"/>
      <c r="F13" s="495"/>
      <c r="G13" s="798"/>
      <c r="H13" s="596"/>
      <c r="I13" s="596"/>
      <c r="J13" s="780">
        <f t="shared" si="0"/>
        <v>0</v>
      </c>
      <c r="N13"/>
      <c r="O13"/>
      <c r="P13"/>
      <c r="Q13"/>
      <c r="R13"/>
      <c r="S13"/>
      <c r="T13"/>
    </row>
    <row r="14" spans="2:20" ht="21" customHeight="1">
      <c r="B14" s="495"/>
      <c r="C14" s="495"/>
      <c r="D14" s="495"/>
      <c r="E14" s="495"/>
      <c r="F14" s="495"/>
      <c r="G14" s="798"/>
      <c r="H14" s="596"/>
      <c r="I14" s="596"/>
      <c r="J14" s="780">
        <f t="shared" si="0"/>
        <v>0</v>
      </c>
      <c r="N14"/>
      <c r="O14"/>
      <c r="P14"/>
      <c r="Q14"/>
      <c r="R14"/>
      <c r="S14"/>
      <c r="T14"/>
    </row>
    <row r="15" spans="2:20" ht="21" customHeight="1">
      <c r="B15" s="248" t="s">
        <v>3152</v>
      </c>
      <c r="C15" s="248"/>
      <c r="D15" s="248"/>
      <c r="E15" s="248"/>
      <c r="F15" s="248"/>
      <c r="G15" s="341"/>
      <c r="H15" s="596"/>
      <c r="I15" s="596"/>
      <c r="J15" s="780">
        <f t="shared" si="0"/>
        <v>0</v>
      </c>
      <c r="N15"/>
      <c r="O15"/>
      <c r="P15"/>
      <c r="Q15"/>
      <c r="R15"/>
      <c r="S15"/>
      <c r="T15"/>
    </row>
    <row r="16" spans="2:20" ht="21" customHeight="1">
      <c r="B16" s="248" t="s">
        <v>3151</v>
      </c>
      <c r="C16" s="248"/>
      <c r="D16" s="248"/>
      <c r="E16" s="248"/>
      <c r="F16" s="248"/>
      <c r="G16" s="341"/>
      <c r="H16" s="596"/>
      <c r="I16" s="596"/>
      <c r="J16" s="780"/>
      <c r="N16"/>
      <c r="O16"/>
      <c r="P16"/>
      <c r="Q16"/>
      <c r="R16"/>
      <c r="S16"/>
      <c r="T16"/>
    </row>
    <row r="17" spans="2:20" ht="21" customHeight="1">
      <c r="B17" s="248" t="s">
        <v>3570</v>
      </c>
      <c r="C17" s="248"/>
      <c r="D17" s="248"/>
      <c r="E17" s="248"/>
      <c r="F17" s="248"/>
      <c r="G17" s="341"/>
      <c r="H17" s="804" t="s">
        <v>627</v>
      </c>
      <c r="I17" s="804" t="s">
        <v>627</v>
      </c>
      <c r="J17" s="885" t="s">
        <v>627</v>
      </c>
      <c r="N17"/>
      <c r="O17"/>
      <c r="P17"/>
      <c r="Q17"/>
      <c r="R17"/>
      <c r="S17"/>
      <c r="T17"/>
    </row>
    <row r="18" spans="2:20" ht="21" customHeight="1">
      <c r="B18" s="495"/>
      <c r="C18" s="495"/>
      <c r="D18" s="495"/>
      <c r="E18" s="495"/>
      <c r="F18" s="495"/>
      <c r="G18" s="495"/>
      <c r="H18" s="450"/>
      <c r="I18" s="450"/>
      <c r="J18" s="780">
        <f>I18-H18</f>
        <v>0</v>
      </c>
      <c r="N18"/>
      <c r="O18"/>
      <c r="P18"/>
      <c r="Q18"/>
      <c r="R18"/>
      <c r="S18"/>
      <c r="T18"/>
    </row>
    <row r="19" spans="2:20" ht="21" customHeight="1" thickBot="1">
      <c r="B19" s="495"/>
      <c r="C19" s="495"/>
      <c r="D19" s="495"/>
      <c r="E19" s="495"/>
      <c r="F19" s="495"/>
      <c r="G19" s="495"/>
      <c r="H19" s="475"/>
      <c r="I19" s="475"/>
      <c r="J19" s="989">
        <f>I19-H19</f>
        <v>0</v>
      </c>
      <c r="N19"/>
      <c r="O19"/>
      <c r="P19"/>
      <c r="Q19"/>
      <c r="R19"/>
      <c r="S19"/>
      <c r="T19"/>
    </row>
    <row r="20" spans="2:20" ht="21" customHeight="1" thickTop="1">
      <c r="B20" s="248"/>
      <c r="C20" s="248"/>
      <c r="D20" s="248" t="s">
        <v>317</v>
      </c>
      <c r="E20" s="248"/>
      <c r="F20" s="248"/>
      <c r="G20" s="344"/>
      <c r="H20" s="890">
        <f>SUM(H7:H19)</f>
        <v>0</v>
      </c>
      <c r="I20" s="890">
        <f>SUM(I7:I19)</f>
        <v>0</v>
      </c>
      <c r="J20" s="638">
        <f>SUM(J7:J19)</f>
        <v>0</v>
      </c>
      <c r="N20"/>
      <c r="O20"/>
      <c r="P20"/>
      <c r="Q20"/>
      <c r="R20"/>
      <c r="S20"/>
      <c r="T20"/>
    </row>
    <row r="21" spans="2:20" ht="21" customHeight="1" thickBot="1">
      <c r="B21" s="248" t="s">
        <v>3150</v>
      </c>
      <c r="C21" s="342"/>
      <c r="D21" s="342"/>
      <c r="E21" s="248"/>
      <c r="F21" s="248"/>
      <c r="G21" s="341"/>
      <c r="H21" s="501"/>
      <c r="I21" s="501"/>
      <c r="J21" s="776">
        <f>I21-H21</f>
        <v>0</v>
      </c>
      <c r="N21"/>
      <c r="O21"/>
      <c r="P21"/>
      <c r="Q21"/>
      <c r="R21"/>
      <c r="S21"/>
      <c r="T21"/>
    </row>
    <row r="22" spans="2:20" ht="21" customHeight="1" thickTop="1" thickBot="1">
      <c r="G22" s="340"/>
      <c r="H22" s="891">
        <f>+H20+H21</f>
        <v>0</v>
      </c>
      <c r="I22" s="891">
        <f>+I20+I21</f>
        <v>0</v>
      </c>
      <c r="J22" s="889">
        <f>+J20+J21</f>
        <v>0</v>
      </c>
      <c r="L22" s="301" t="s">
        <v>3131</v>
      </c>
      <c r="N22"/>
      <c r="O22"/>
      <c r="P22"/>
      <c r="Q22"/>
      <c r="R22"/>
      <c r="S22"/>
      <c r="T22"/>
    </row>
    <row r="23" spans="2:20" ht="13.8" thickTop="1">
      <c r="B23" s="309" t="s">
        <v>3149</v>
      </c>
      <c r="N23"/>
      <c r="O23"/>
      <c r="P23"/>
      <c r="Q23"/>
      <c r="R23"/>
      <c r="S23"/>
      <c r="T23"/>
    </row>
    <row r="24" spans="2:20">
      <c r="B24" s="309" t="s">
        <v>3148</v>
      </c>
      <c r="N24"/>
      <c r="O24"/>
      <c r="P24"/>
      <c r="Q24"/>
      <c r="R24"/>
      <c r="S24"/>
      <c r="T24"/>
    </row>
    <row r="25" spans="2:20">
      <c r="N25"/>
      <c r="O25"/>
      <c r="P25"/>
      <c r="Q25"/>
      <c r="R25"/>
      <c r="S25"/>
      <c r="T25"/>
    </row>
    <row r="26" spans="2:20">
      <c r="N26"/>
      <c r="O26"/>
      <c r="P26"/>
      <c r="Q26"/>
      <c r="R26"/>
      <c r="S26"/>
      <c r="T26"/>
    </row>
    <row r="27" spans="2:20" ht="17.25" customHeight="1" thickBot="1">
      <c r="B27" s="1372" t="s">
        <v>321</v>
      </c>
      <c r="C27" s="1372"/>
      <c r="D27" s="1372"/>
      <c r="E27" s="1372"/>
      <c r="F27" s="1372"/>
      <c r="G27" s="1372"/>
      <c r="H27" s="1372"/>
      <c r="I27" s="1372"/>
      <c r="J27" s="1372"/>
    </row>
    <row r="28" spans="2:20" ht="21" customHeight="1" thickTop="1">
      <c r="B28" s="337" t="s">
        <v>322</v>
      </c>
      <c r="C28" s="313"/>
      <c r="D28" s="313"/>
      <c r="E28" s="313"/>
      <c r="F28" s="313"/>
      <c r="G28" s="313"/>
      <c r="H28" s="313"/>
      <c r="I28" s="892"/>
      <c r="J28" s="893" t="s">
        <v>627</v>
      </c>
    </row>
    <row r="29" spans="2:20" ht="21" customHeight="1">
      <c r="B29" s="334"/>
      <c r="C29" s="333" t="s">
        <v>174</v>
      </c>
      <c r="D29" s="333"/>
      <c r="E29" s="333"/>
      <c r="F29" s="333"/>
      <c r="G29" s="333"/>
      <c r="H29" s="333"/>
      <c r="I29" s="894"/>
      <c r="J29" s="502"/>
    </row>
    <row r="30" spans="2:20" ht="21" customHeight="1">
      <c r="B30" s="334"/>
      <c r="C30" s="333" t="s">
        <v>3571</v>
      </c>
      <c r="D30" s="333"/>
      <c r="E30" s="333"/>
      <c r="F30" s="333"/>
      <c r="G30" s="333"/>
      <c r="H30" s="333"/>
      <c r="I30" s="894"/>
      <c r="J30" s="502"/>
    </row>
    <row r="31" spans="2:20" ht="21" customHeight="1" thickBot="1">
      <c r="B31" s="334"/>
      <c r="C31" s="333" t="s">
        <v>323</v>
      </c>
      <c r="D31" s="333"/>
      <c r="E31" s="333"/>
      <c r="F31" s="333"/>
      <c r="G31" s="333"/>
      <c r="H31" s="333"/>
      <c r="I31" s="894"/>
      <c r="J31" s="503"/>
    </row>
    <row r="32" spans="2:20" ht="21" customHeight="1" thickTop="1">
      <c r="B32" s="334" t="s">
        <v>324</v>
      </c>
      <c r="C32" s="333"/>
      <c r="D32" s="333"/>
      <c r="E32" s="333"/>
      <c r="F32" s="333"/>
      <c r="G32" s="333"/>
      <c r="H32" s="333"/>
      <c r="I32" s="895"/>
      <c r="J32" s="896">
        <f>SUM(J29:J31)</f>
        <v>0</v>
      </c>
    </row>
    <row r="33" spans="2:13" ht="21" customHeight="1" thickBot="1">
      <c r="B33" s="334" t="s">
        <v>325</v>
      </c>
      <c r="C33" s="333"/>
      <c r="D33" s="333"/>
      <c r="E33" s="333"/>
      <c r="F33" s="333"/>
      <c r="G33" s="333"/>
      <c r="H33" s="333"/>
      <c r="I33" s="895"/>
      <c r="J33" s="503"/>
    </row>
    <row r="34" spans="2:13" ht="21" customHeight="1" thickTop="1">
      <c r="B34" s="334" t="s">
        <v>726</v>
      </c>
      <c r="C34" s="333"/>
      <c r="D34" s="333"/>
      <c r="E34" s="333"/>
      <c r="F34" s="333"/>
      <c r="G34" s="333"/>
      <c r="H34" s="333"/>
      <c r="I34" s="895"/>
      <c r="J34" s="896">
        <f>+J32+J33</f>
        <v>0</v>
      </c>
    </row>
    <row r="35" spans="2:13" ht="21" customHeight="1">
      <c r="B35" s="334" t="s">
        <v>326</v>
      </c>
      <c r="C35" s="333"/>
      <c r="D35" s="333"/>
      <c r="E35" s="333"/>
      <c r="F35" s="333"/>
      <c r="G35" s="333"/>
      <c r="H35" s="333"/>
      <c r="I35" s="895"/>
      <c r="J35" s="897"/>
    </row>
    <row r="36" spans="2:13" ht="21" customHeight="1">
      <c r="B36" s="248"/>
      <c r="C36" s="248" t="s">
        <v>593</v>
      </c>
      <c r="D36" s="248"/>
      <c r="E36" s="248"/>
      <c r="F36" s="248"/>
      <c r="G36" s="248"/>
      <c r="H36" s="248"/>
      <c r="I36" s="504"/>
      <c r="J36" s="898"/>
    </row>
    <row r="37" spans="2:13" ht="21" customHeight="1">
      <c r="B37" s="248"/>
      <c r="C37" s="248" t="s">
        <v>730</v>
      </c>
      <c r="D37" s="248"/>
      <c r="E37" s="248"/>
      <c r="F37" s="248"/>
      <c r="G37" s="248"/>
      <c r="H37" s="248"/>
      <c r="I37" s="504"/>
      <c r="J37" s="898"/>
    </row>
    <row r="38" spans="2:13" ht="21" customHeight="1" thickBot="1">
      <c r="B38" s="248" t="s">
        <v>327</v>
      </c>
      <c r="C38" s="248"/>
      <c r="D38" s="248"/>
      <c r="E38" s="248"/>
      <c r="F38" s="248"/>
      <c r="G38" s="248"/>
      <c r="H38" s="248"/>
      <c r="I38" s="505"/>
      <c r="J38" s="502"/>
      <c r="M38" s="301"/>
    </row>
    <row r="39" spans="2:13" ht="21" customHeight="1" thickTop="1" thickBot="1">
      <c r="B39" s="248" t="s">
        <v>731</v>
      </c>
      <c r="C39" s="248"/>
      <c r="D39" s="248"/>
      <c r="E39" s="248"/>
      <c r="F39" s="248"/>
      <c r="G39" s="248"/>
      <c r="H39" s="248"/>
      <c r="I39" s="899"/>
      <c r="J39" s="901">
        <f>SUM(I36:I38)</f>
        <v>0</v>
      </c>
    </row>
    <row r="40" spans="2:13" ht="21" customHeight="1" thickTop="1" thickBot="1">
      <c r="B40" s="248" t="s">
        <v>328</v>
      </c>
      <c r="C40" s="248"/>
      <c r="D40" s="248"/>
      <c r="E40" s="248"/>
      <c r="F40" s="248"/>
      <c r="G40" s="248"/>
      <c r="H40" s="248"/>
      <c r="I40" s="900"/>
      <c r="J40" s="902">
        <f>+J34-J39</f>
        <v>0</v>
      </c>
      <c r="K40" s="301"/>
    </row>
    <row r="41" spans="2:13" ht="13.8" thickTop="1"/>
    <row r="42" spans="2:13">
      <c r="B42" s="309" t="s">
        <v>3147</v>
      </c>
      <c r="C42" s="309"/>
      <c r="D42" s="309"/>
      <c r="E42" s="309"/>
      <c r="F42" s="309"/>
    </row>
    <row r="43" spans="2:13">
      <c r="B43" s="309"/>
      <c r="C43" s="309" t="s">
        <v>3146</v>
      </c>
      <c r="D43" s="309"/>
      <c r="E43" s="309"/>
      <c r="F43" s="309"/>
    </row>
    <row r="44" spans="2:13">
      <c r="B44" s="309"/>
      <c r="C44" s="309"/>
      <c r="D44" s="309" t="s">
        <v>3145</v>
      </c>
      <c r="E44" s="309"/>
      <c r="F44" s="309"/>
      <c r="M44" s="301"/>
    </row>
    <row r="45" spans="2:13">
      <c r="B45" s="309"/>
      <c r="C45" s="309" t="s">
        <v>39</v>
      </c>
      <c r="D45" s="309"/>
      <c r="E45" s="309"/>
      <c r="F45" s="309"/>
    </row>
    <row r="46" spans="2:13">
      <c r="B46" s="309"/>
      <c r="C46" s="309" t="s">
        <v>3144</v>
      </c>
      <c r="D46" s="309"/>
      <c r="E46" s="309"/>
      <c r="F46" s="309"/>
    </row>
    <row r="47" spans="2:13">
      <c r="B47" s="309"/>
      <c r="C47" s="309"/>
      <c r="D47" s="309" t="s">
        <v>3143</v>
      </c>
      <c r="E47" s="309"/>
      <c r="F47" s="309"/>
    </row>
    <row r="48" spans="2:13">
      <c r="B48" s="309"/>
      <c r="C48" s="309"/>
      <c r="D48" s="309"/>
      <c r="E48" s="309"/>
      <c r="F48" s="309"/>
    </row>
    <row r="55" spans="2:10" ht="13.8">
      <c r="B55" s="1353" t="s">
        <v>3142</v>
      </c>
      <c r="C55" s="1353"/>
      <c r="D55" s="1353"/>
      <c r="E55" s="1353"/>
      <c r="F55" s="1353"/>
      <c r="G55" s="1353"/>
      <c r="H55" s="1353"/>
      <c r="I55" s="1353"/>
      <c r="J55" s="1353"/>
    </row>
  </sheetData>
  <sheetProtection algorithmName="SHA-512" hashValue="/PY9LIDcIC7028Akn9arOHfEHXU4ZXmr7l+6LjclKUF+YRy947H+TB+APOhnxivpE0Z0ilaqoL0DQKPL6RfFLw==" saltValue="d09Y4g7i4CLNGy7TNxrQpQ=="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B74EB-6065-4670-B8A9-D864FC859516}">
  <sheetPr codeName="Sheet207">
    <tabColor theme="5" tint="0.59999389629810485"/>
  </sheetPr>
  <dimension ref="B3:T57"/>
  <sheetViews>
    <sheetView topLeftCell="A25" zoomScaleNormal="100" zoomScaleSheetLayoutView="80" workbookViewId="0">
      <selection activeCell="E50" sqref="E50"/>
    </sheetView>
  </sheetViews>
  <sheetFormatPr defaultColWidth="8.88671875" defaultRowHeight="13.2"/>
  <cols>
    <col min="1" max="1" width="4.6640625" style="267" customWidth="1"/>
    <col min="2" max="2" width="6.109375" style="267" customWidth="1"/>
    <col min="3" max="3" width="3.33203125" style="267" customWidth="1"/>
    <col min="4" max="4" width="2.6640625" style="267" customWidth="1"/>
    <col min="5" max="5" width="8.88671875" style="267"/>
    <col min="6" max="6" width="5.88671875" style="267" customWidth="1"/>
    <col min="7" max="7" width="8.88671875" style="267"/>
    <col min="8" max="8" width="16" style="267" customWidth="1"/>
    <col min="9" max="9" width="8.88671875" style="267"/>
    <col min="10" max="11" width="16.6640625" style="267" customWidth="1"/>
    <col min="12" max="12" width="8.88671875" style="267"/>
    <col min="13" max="13" width="11.33203125" style="267" customWidth="1"/>
    <col min="14" max="16384" width="8.88671875" style="267"/>
  </cols>
  <sheetData>
    <row r="3" spans="2:20" ht="22.8">
      <c r="B3" s="1358" t="str">
        <f>"STATEMENT  OF  "&amp;IF('KEY INPUTS'!C42="State Fiscal Year","FISCAL  YEAR  "&amp;'KEY INPUTS'!D33&amp;"",'KEY INPUTS'!D34)&amp;"  OPERATION"</f>
        <v>STATEMENT  OF  2024  OPERATION</v>
      </c>
      <c r="C3" s="1358"/>
      <c r="D3" s="1358"/>
      <c r="E3" s="1358"/>
      <c r="F3" s="1358"/>
      <c r="G3" s="1358"/>
      <c r="H3" s="1358"/>
      <c r="I3" s="1358"/>
      <c r="J3" s="1358"/>
      <c r="K3" s="1358"/>
    </row>
    <row r="5" spans="2:20" ht="20.399999999999999">
      <c r="B5" s="1363" t="str">
        <f>UPPER('KEY INPUTS'!D56)&amp;" UTILITY"</f>
        <v xml:space="preserve"> UTILITY</v>
      </c>
      <c r="C5" s="1363"/>
      <c r="D5" s="1363"/>
      <c r="E5" s="1363"/>
      <c r="F5" s="1363"/>
      <c r="G5" s="1363"/>
      <c r="H5" s="1363"/>
      <c r="I5" s="1363"/>
      <c r="J5" s="1363"/>
      <c r="K5" s="1363"/>
    </row>
    <row r="8" spans="2:20">
      <c r="B8" s="267" t="s">
        <v>313</v>
      </c>
      <c r="C8" s="267" t="str">
        <f>"Section 1 of this sheet is required to be filled out ONLY IF the "&amp;IF('KEY INPUTS'!C42="State Fiscal Year","Fiscal Year "&amp;'KEY INPUTS'!D33&amp;"",'KEY INPUTS'!D34)&amp;" "&amp;PROPER('KEY INPUTS'!D56)&amp;" Utility Budget contained"</f>
        <v>Section 1 of this sheet is required to be filled out ONLY IF the 2024  Utility Budget contained</v>
      </c>
    </row>
    <row r="9" spans="2:20">
      <c r="C9" s="267" t="s">
        <v>329</v>
      </c>
    </row>
    <row r="10" spans="2:20">
      <c r="C10" s="267" t="s">
        <v>330</v>
      </c>
    </row>
    <row r="11" spans="2:20">
      <c r="C11" s="799" t="s">
        <v>3158</v>
      </c>
    </row>
    <row r="13" spans="2:20" ht="17.399999999999999">
      <c r="B13" s="800" t="s">
        <v>331</v>
      </c>
    </row>
    <row r="14" spans="2:20" ht="13.8" thickBot="1">
      <c r="B14" s="318"/>
      <c r="C14" s="318"/>
      <c r="D14" s="318"/>
      <c r="E14" s="318"/>
      <c r="F14" s="318"/>
      <c r="G14" s="318"/>
      <c r="H14" s="318"/>
      <c r="I14" s="318"/>
      <c r="J14" s="318"/>
      <c r="K14" s="318"/>
    </row>
    <row r="15" spans="2:20" ht="21" customHeight="1" thickTop="1">
      <c r="B15" s="313" t="s">
        <v>332</v>
      </c>
      <c r="C15" s="313"/>
      <c r="D15" s="313"/>
      <c r="E15" s="313"/>
      <c r="F15" s="313"/>
      <c r="G15" s="313"/>
      <c r="H15" s="313"/>
      <c r="I15" s="313"/>
      <c r="J15" s="801" t="s">
        <v>627</v>
      </c>
      <c r="K15" s="628"/>
      <c r="N15"/>
      <c r="O15"/>
      <c r="P15"/>
      <c r="Q15"/>
      <c r="R15"/>
      <c r="S15"/>
      <c r="T15"/>
    </row>
    <row r="16" spans="2:20" ht="21" customHeight="1">
      <c r="B16" s="248"/>
      <c r="C16" s="248" t="s">
        <v>333</v>
      </c>
      <c r="D16" s="248"/>
      <c r="E16" s="248"/>
      <c r="F16" s="248"/>
      <c r="G16" s="248"/>
      <c r="H16" s="248"/>
      <c r="I16" s="248"/>
      <c r="J16" s="629">
        <f>+'44-Utility3'!I20</f>
        <v>0</v>
      </c>
      <c r="K16" s="628"/>
      <c r="N16"/>
      <c r="O16"/>
      <c r="P16"/>
      <c r="Q16"/>
      <c r="R16"/>
      <c r="S16"/>
      <c r="T16"/>
    </row>
    <row r="17" spans="2:20" ht="21" customHeight="1">
      <c r="B17" s="248"/>
      <c r="C17" s="248" t="s">
        <v>334</v>
      </c>
      <c r="D17" s="248"/>
      <c r="E17" s="248"/>
      <c r="F17" s="248"/>
      <c r="G17" s="248"/>
      <c r="H17" s="248"/>
      <c r="I17" s="248"/>
      <c r="J17" s="426"/>
      <c r="K17" s="628"/>
      <c r="N17" s="294"/>
      <c r="O17"/>
      <c r="P17"/>
      <c r="Q17"/>
      <c r="R17"/>
      <c r="S17"/>
      <c r="T17"/>
    </row>
    <row r="18" spans="2:20" ht="21" customHeight="1">
      <c r="B18" s="248"/>
      <c r="C18" s="248" t="str">
        <f>IF('KEY INPUTS'!C42="State Fiscal Year","FY "&amp;'KEY INPUTS'!D33-1&amp;"",'KEY INPUTS'!D34-1)&amp;" Appropriation Reserves Canceled in "&amp;IF('KEY INPUTS'!C42="State Fiscal Year","FY "&amp;'KEY INPUTS'!D33&amp;"",'KEY INPUTS'!D34)</f>
        <v>2023 Appropriation Reserves Canceled in 2024</v>
      </c>
      <c r="D18" s="802"/>
      <c r="E18" s="802"/>
      <c r="F18" s="802"/>
      <c r="G18" s="802"/>
      <c r="H18" s="248"/>
      <c r="I18" s="248"/>
      <c r="J18" s="291"/>
      <c r="K18" s="628"/>
      <c r="N18"/>
      <c r="O18"/>
      <c r="P18"/>
      <c r="Q18"/>
      <c r="R18"/>
      <c r="S18"/>
      <c r="T18"/>
    </row>
    <row r="19" spans="2:20" ht="21" customHeight="1">
      <c r="B19" s="248"/>
      <c r="C19" s="495"/>
      <c r="D19" s="495"/>
      <c r="E19" s="495"/>
      <c r="F19" s="495"/>
      <c r="G19" s="495"/>
      <c r="H19" s="495"/>
      <c r="I19" s="495"/>
      <c r="J19" s="291"/>
      <c r="K19" s="628"/>
      <c r="N19"/>
      <c r="O19"/>
      <c r="P19"/>
      <c r="Q19"/>
      <c r="R19"/>
      <c r="S19"/>
      <c r="T19"/>
    </row>
    <row r="20" spans="2:20" ht="21" customHeight="1">
      <c r="B20" s="248"/>
      <c r="C20" s="495"/>
      <c r="D20" s="495"/>
      <c r="E20" s="495"/>
      <c r="F20" s="495"/>
      <c r="G20" s="495"/>
      <c r="H20" s="495"/>
      <c r="I20" s="495"/>
      <c r="J20" s="291"/>
      <c r="K20" s="628"/>
      <c r="N20"/>
      <c r="O20"/>
      <c r="P20"/>
      <c r="Q20"/>
      <c r="R20"/>
      <c r="S20"/>
      <c r="T20"/>
    </row>
    <row r="21" spans="2:20" ht="21" customHeight="1">
      <c r="B21" s="248"/>
      <c r="C21" s="248" t="s">
        <v>335</v>
      </c>
      <c r="D21" s="248"/>
      <c r="E21" s="248"/>
      <c r="F21" s="248"/>
      <c r="G21" s="248"/>
      <c r="H21" s="248"/>
      <c r="I21" s="248"/>
      <c r="J21" s="426"/>
      <c r="K21" s="636">
        <f>SUM(J16:J20)</f>
        <v>0</v>
      </c>
      <c r="N21"/>
      <c r="O21"/>
      <c r="P21"/>
      <c r="Q21"/>
      <c r="R21"/>
      <c r="S21"/>
      <c r="T21"/>
    </row>
    <row r="22" spans="2:20" ht="21" customHeight="1">
      <c r="B22" s="248" t="s">
        <v>336</v>
      </c>
      <c r="C22" s="248"/>
      <c r="D22" s="248"/>
      <c r="E22" s="248"/>
      <c r="F22" s="248"/>
      <c r="G22" s="248"/>
      <c r="H22" s="248"/>
      <c r="I22" s="248"/>
      <c r="J22" s="804" t="s">
        <v>627</v>
      </c>
      <c r="K22" s="628"/>
      <c r="N22"/>
      <c r="O22"/>
      <c r="P22"/>
      <c r="Q22"/>
      <c r="R22"/>
      <c r="S22"/>
      <c r="T22"/>
    </row>
    <row r="23" spans="2:20" ht="21" customHeight="1">
      <c r="B23" s="248"/>
      <c r="C23" s="248" t="s">
        <v>337</v>
      </c>
      <c r="D23" s="248"/>
      <c r="E23" s="248"/>
      <c r="F23" s="248"/>
      <c r="G23" s="248"/>
      <c r="H23" s="248"/>
      <c r="I23" s="248"/>
      <c r="J23" s="804" t="s">
        <v>627</v>
      </c>
      <c r="K23" s="628"/>
      <c r="N23"/>
      <c r="O23"/>
      <c r="P23"/>
      <c r="Q23"/>
      <c r="R23"/>
      <c r="S23"/>
      <c r="T23"/>
    </row>
    <row r="24" spans="2:20" ht="21" customHeight="1">
      <c r="B24" s="248"/>
      <c r="C24" s="248"/>
      <c r="D24" s="248" t="s">
        <v>593</v>
      </c>
      <c r="E24" s="248"/>
      <c r="F24" s="248"/>
      <c r="G24" s="248"/>
      <c r="H24" s="248"/>
      <c r="I24" s="248"/>
      <c r="J24" s="629">
        <f>+'44-Utility3'!I36</f>
        <v>0</v>
      </c>
      <c r="K24" s="628"/>
      <c r="N24"/>
      <c r="O24"/>
      <c r="P24"/>
      <c r="Q24"/>
      <c r="R24"/>
      <c r="S24"/>
      <c r="T24"/>
    </row>
    <row r="25" spans="2:20" ht="21" customHeight="1">
      <c r="B25" s="248"/>
      <c r="C25" s="248"/>
      <c r="D25" s="248" t="s">
        <v>730</v>
      </c>
      <c r="E25" s="248"/>
      <c r="F25" s="248"/>
      <c r="G25" s="248"/>
      <c r="H25" s="248"/>
      <c r="I25" s="248"/>
      <c r="J25" s="629">
        <f>+'44-Utility3'!I37</f>
        <v>0</v>
      </c>
      <c r="K25" s="628"/>
      <c r="N25"/>
      <c r="O25"/>
      <c r="P25"/>
      <c r="Q25"/>
      <c r="R25"/>
      <c r="S25"/>
      <c r="T25"/>
    </row>
    <row r="26" spans="2:20" ht="21" customHeight="1">
      <c r="B26" s="248"/>
      <c r="C26" s="248" t="s">
        <v>338</v>
      </c>
      <c r="D26" s="248"/>
      <c r="E26" s="248"/>
      <c r="F26" s="248"/>
      <c r="G26" s="248"/>
      <c r="H26" s="248"/>
      <c r="I26" s="248"/>
      <c r="J26" s="426"/>
      <c r="K26" s="628"/>
      <c r="N26"/>
      <c r="O26"/>
      <c r="P26"/>
      <c r="Q26"/>
      <c r="R26"/>
      <c r="S26"/>
      <c r="T26"/>
    </row>
    <row r="27" spans="2:20" ht="21" customHeight="1">
      <c r="B27" s="248"/>
      <c r="C27" s="248" t="s">
        <v>339</v>
      </c>
      <c r="D27" s="248"/>
      <c r="E27" s="248"/>
      <c r="F27" s="248"/>
      <c r="G27" s="248"/>
      <c r="H27" s="248"/>
      <c r="I27" s="248"/>
      <c r="J27" s="426"/>
      <c r="K27" s="628"/>
      <c r="N27"/>
      <c r="O27"/>
      <c r="P27"/>
      <c r="Q27"/>
      <c r="R27"/>
      <c r="S27"/>
      <c r="T27"/>
    </row>
    <row r="28" spans="2:20" ht="21" customHeight="1" thickBot="1">
      <c r="B28" s="248"/>
      <c r="C28" s="495"/>
      <c r="D28" s="495"/>
      <c r="E28" s="495"/>
      <c r="F28" s="495"/>
      <c r="G28" s="495"/>
      <c r="H28" s="495"/>
      <c r="I28" s="495"/>
      <c r="J28" s="725"/>
      <c r="K28" s="628"/>
      <c r="N28"/>
      <c r="O28"/>
      <c r="P28"/>
      <c r="Q28"/>
      <c r="R28"/>
      <c r="S28"/>
      <c r="T28"/>
    </row>
    <row r="29" spans="2:20" ht="21" customHeight="1">
      <c r="B29" s="248"/>
      <c r="C29" s="248"/>
      <c r="D29" s="248"/>
      <c r="E29" s="248"/>
      <c r="F29" s="248" t="s">
        <v>731</v>
      </c>
      <c r="G29" s="248"/>
      <c r="H29" s="248"/>
      <c r="I29" s="248"/>
      <c r="J29" s="633">
        <f>SUM(J24:J28)</f>
        <v>0</v>
      </c>
      <c r="K29" s="628"/>
      <c r="N29"/>
      <c r="O29"/>
      <c r="P29"/>
      <c r="Q29"/>
      <c r="R29"/>
      <c r="S29"/>
      <c r="T29"/>
    </row>
    <row r="30" spans="2:20" ht="11.25" customHeight="1">
      <c r="F30" s="267" t="s">
        <v>755</v>
      </c>
      <c r="G30" s="267" t="s">
        <v>756</v>
      </c>
      <c r="J30" s="807"/>
      <c r="K30" s="628"/>
      <c r="N30"/>
      <c r="O30"/>
      <c r="P30"/>
      <c r="Q30"/>
      <c r="R30"/>
      <c r="S30"/>
      <c r="T30"/>
    </row>
    <row r="31" spans="2:20" ht="13.5" customHeight="1">
      <c r="B31" s="333"/>
      <c r="C31" s="333"/>
      <c r="D31" s="333"/>
      <c r="E31" s="333"/>
      <c r="F31" s="333"/>
      <c r="G31" s="333" t="s">
        <v>757</v>
      </c>
      <c r="H31" s="333"/>
      <c r="I31" s="808"/>
      <c r="J31" s="962"/>
      <c r="K31" s="805"/>
      <c r="N31"/>
      <c r="O31"/>
      <c r="P31"/>
      <c r="Q31"/>
      <c r="R31"/>
      <c r="S31"/>
      <c r="T31"/>
    </row>
    <row r="32" spans="2:20" ht="21" customHeight="1" thickBot="1">
      <c r="B32" s="810"/>
      <c r="C32" s="810"/>
      <c r="D32" s="810" t="s">
        <v>758</v>
      </c>
      <c r="E32" s="810"/>
      <c r="F32" s="810"/>
      <c r="G32" s="810"/>
      <c r="H32" s="810"/>
      <c r="I32" s="810"/>
      <c r="J32" s="811"/>
      <c r="K32" s="806">
        <f>+J29-J31</f>
        <v>0</v>
      </c>
    </row>
    <row r="33" spans="2:15" ht="21" customHeight="1" thickTop="1" thickBot="1">
      <c r="B33" s="812" t="s">
        <v>759</v>
      </c>
      <c r="C33" s="812"/>
      <c r="D33" s="812"/>
      <c r="E33" s="812"/>
      <c r="F33" s="812"/>
      <c r="G33" s="812"/>
      <c r="H33" s="812"/>
      <c r="I33" s="812"/>
      <c r="J33" s="813"/>
      <c r="K33" s="814">
        <f>IF(M33&gt;0,M33,0)</f>
        <v>0</v>
      </c>
      <c r="M33" s="301">
        <f>+K21-K32</f>
        <v>0</v>
      </c>
      <c r="N33" s="550" t="s">
        <v>3209</v>
      </c>
    </row>
    <row r="34" spans="2:15" ht="21" customHeight="1">
      <c r="B34" s="248" t="s">
        <v>760</v>
      </c>
      <c r="C34" s="248"/>
      <c r="D34" s="248"/>
      <c r="E34" s="248"/>
      <c r="F34" s="248"/>
      <c r="G34" s="248"/>
      <c r="H34" s="248"/>
      <c r="I34" s="248"/>
      <c r="J34" s="426"/>
      <c r="K34" s="628"/>
    </row>
    <row r="35" spans="2:15" ht="11.25" customHeight="1">
      <c r="B35" s="1375" t="s">
        <v>761</v>
      </c>
      <c r="C35" s="1375"/>
      <c r="D35" s="1375"/>
      <c r="E35" s="267" t="str">
        <f>"Balance of Results of "&amp;IF('KEY INPUTS'!C42="State Fiscal Year","Fiscal Year "&amp;'KEY INPUTS'!D33&amp;"",'KEY INPUTS'!D34)&amp;" Operation"</f>
        <v>Balance of Results of 2024 Operation</v>
      </c>
      <c r="J35" s="688"/>
      <c r="K35" s="628"/>
    </row>
    <row r="36" spans="2:15" ht="12.75" customHeight="1" thickBot="1">
      <c r="B36" s="1376"/>
      <c r="C36" s="1376"/>
      <c r="D36" s="1376"/>
      <c r="E36" s="333" t="s">
        <v>3481</v>
      </c>
      <c r="F36" s="333"/>
      <c r="G36" s="333"/>
      <c r="H36" s="333"/>
      <c r="I36" s="333"/>
      <c r="J36" s="809">
        <f>+K33-J34</f>
        <v>0</v>
      </c>
      <c r="K36" s="628"/>
    </row>
    <row r="37" spans="2:15" ht="21" customHeight="1" thickBot="1">
      <c r="B37" s="819"/>
      <c r="C37" s="819"/>
      <c r="D37" s="819"/>
      <c r="E37" s="819"/>
      <c r="F37" s="819"/>
      <c r="G37" s="819"/>
      <c r="H37" s="819"/>
      <c r="I37" s="819"/>
      <c r="J37" s="820"/>
      <c r="K37" s="815"/>
    </row>
    <row r="38" spans="2:15" ht="21" customHeight="1" thickBot="1">
      <c r="B38" s="357" t="s">
        <v>762</v>
      </c>
      <c r="C38" s="357"/>
      <c r="D38" s="357"/>
      <c r="E38" s="357"/>
      <c r="F38" s="357"/>
      <c r="G38" s="357"/>
      <c r="H38" s="357"/>
      <c r="I38" s="357"/>
      <c r="J38" s="821"/>
      <c r="K38" s="816">
        <f>IF(+M33&gt;0,0,+M33*-1)</f>
        <v>0</v>
      </c>
    </row>
    <row r="39" spans="2:15" ht="21" customHeight="1">
      <c r="B39" s="248" t="s">
        <v>763</v>
      </c>
      <c r="C39" s="248"/>
      <c r="D39" s="248"/>
      <c r="E39" s="248"/>
      <c r="F39" s="248"/>
      <c r="G39" s="248"/>
      <c r="H39" s="248"/>
      <c r="I39" s="248"/>
      <c r="J39" s="821">
        <f>+'44-Utility3'!I21</f>
        <v>0</v>
      </c>
      <c r="K39" s="628"/>
    </row>
    <row r="40" spans="2:15">
      <c r="B40" s="1377" t="s">
        <v>761</v>
      </c>
      <c r="C40" s="1377"/>
      <c r="D40" s="1377"/>
      <c r="E40" s="267" t="str">
        <f>"Balance of Results of "&amp;IF('KEY INPUTS'!C42="State Fiscal Year","Fiscal Year "&amp;'KEY INPUTS'!D33&amp;"",'KEY INPUTS'!D34)&amp;" Operation"</f>
        <v>Balance of Results of 2024 Operation</v>
      </c>
      <c r="J40" s="807"/>
      <c r="K40" s="817"/>
    </row>
    <row r="41" spans="2:15" ht="13.8" thickBot="1">
      <c r="B41" s="1378"/>
      <c r="C41" s="1378"/>
      <c r="D41" s="1378"/>
      <c r="E41" s="318" t="s">
        <v>3157</v>
      </c>
      <c r="F41" s="318"/>
      <c r="G41" s="318"/>
      <c r="H41" s="318"/>
      <c r="I41" s="318"/>
      <c r="J41" s="822">
        <f>+K38-J39</f>
        <v>0</v>
      </c>
      <c r="K41" s="818"/>
      <c r="L41" s="573"/>
      <c r="O41" s="301"/>
    </row>
    <row r="42" spans="2:15" ht="13.8" thickTop="1">
      <c r="J42" s="628"/>
      <c r="K42" s="628"/>
    </row>
    <row r="43" spans="2:15" ht="17.399999999999999">
      <c r="B43" s="800" t="s">
        <v>764</v>
      </c>
      <c r="J43" s="628"/>
      <c r="K43" s="628"/>
    </row>
    <row r="44" spans="2:15">
      <c r="B44" s="267" t="str">
        <f>"The following Item of '"&amp;IF('KEY INPUTS'!C42="State Fiscal Year","Fiscal Year "&amp;'KEY INPUTS'!D33-1&amp;"",'KEY INPUTS'!D34-1)&amp;" Appropriation Reserves Canceled in "&amp;IF('KEY INPUTS'!C42="State Fiscal Year","Fiscal Year "&amp;'KEY INPUTS'!D33&amp;"",'KEY INPUTS'!D34)&amp;"' is Due to the Current"</f>
        <v>The following Item of '2023 Appropriation Reserves Canceled in 2024' is Due to the Current</v>
      </c>
      <c r="J44" s="628"/>
      <c r="K44" s="628"/>
    </row>
    <row r="45" spans="2:15">
      <c r="B45" s="267" t="str">
        <f>"fund TO THE EXTENT OF the amount received and Due from the General Budget of "&amp;IF('KEY INPUTS'!C42="State Fiscal Year","Fiscal Year "&amp;'KEY INPUTS'!D33-1&amp;"",'KEY INPUTS'!D34-1)&amp;" for an"</f>
        <v>fund TO THE EXTENT OF the amount received and Due from the General Budget of 2023 for an</v>
      </c>
      <c r="J45" s="628"/>
      <c r="K45" s="628"/>
    </row>
    <row r="46" spans="2:15">
      <c r="B46" s="267" t="str">
        <f>"Anticipated Deficit in the "&amp;PROPER('KEY INPUTS'!D56)&amp;" Utility for "&amp;IF('KEY INPUTS'!C42="State Fiscal Year","Fiscal Year "&amp;'KEY INPUTS'!D33-1&amp;"",'KEY INPUTS'!D34-1)&amp;""</f>
        <v>Anticipated Deficit in the  Utility for 2023</v>
      </c>
      <c r="J46" s="628"/>
      <c r="K46" s="628"/>
      <c r="O46"/>
    </row>
    <row r="47" spans="2:15">
      <c r="J47" s="628"/>
      <c r="K47" s="628"/>
      <c r="O47"/>
    </row>
    <row r="48" spans="2:15" ht="21" customHeight="1">
      <c r="B48" s="248" t="str">
        <f>IF('KEY INPUTS'!C42="State Fiscal Year","Fiscal Year "&amp;'KEY INPUTS'!D33-1&amp;"",'KEY INPUTS'!D34-1)&amp;" Appropriation Reserves Canceled in "&amp;IF('KEY INPUTS'!C42="State Fiscal Year","Fiscal Year "&amp;'KEY INPUTS'!D33&amp;"",'KEY INPUTS'!D34)&amp;""</f>
        <v>2023 Appropriation Reserves Canceled in 2024</v>
      </c>
      <c r="C48" s="248"/>
      <c r="D48" s="248"/>
      <c r="E48" s="248"/>
      <c r="F48" s="248"/>
      <c r="G48" s="248"/>
      <c r="H48" s="248"/>
      <c r="I48" s="248"/>
      <c r="J48" s="291"/>
      <c r="K48" s="628"/>
      <c r="O48"/>
    </row>
    <row r="49" spans="2:15" ht="24" customHeight="1">
      <c r="B49" s="248"/>
      <c r="C49" s="823" t="s">
        <v>755</v>
      </c>
      <c r="D49" s="248"/>
      <c r="E49" s="1373" t="str">
        <f>"Anticipated Deficit in "&amp;IF('KEY INPUTS'!C42="State Fiscal Year","Fiscal Year "&amp;'KEY INPUTS'!D33-1&amp;"",'KEY INPUTS'!D34-1)&amp;" Budget - Amount Received and Due from Current Fund - If none, enter 'None '"</f>
        <v>Anticipated Deficit in 2023 Budget - Amount Received and Due from Current Fund - If none, enter 'None '</v>
      </c>
      <c r="F49" s="1373"/>
      <c r="G49" s="1373"/>
      <c r="H49" s="1373"/>
      <c r="I49" s="1374"/>
      <c r="J49" s="426"/>
      <c r="K49" s="628"/>
      <c r="O49"/>
    </row>
    <row r="50" spans="2:15" ht="21" customHeight="1">
      <c r="B50" s="248" t="s">
        <v>765</v>
      </c>
      <c r="C50" s="248"/>
      <c r="D50" s="248"/>
      <c r="E50" s="248"/>
      <c r="F50" s="248"/>
      <c r="G50" s="248"/>
      <c r="H50" s="248"/>
      <c r="I50" s="248"/>
      <c r="J50" s="509"/>
      <c r="K50" s="636">
        <f>+MAX(0,J48-J49)</f>
        <v>0</v>
      </c>
    </row>
    <row r="52" spans="2:15">
      <c r="B52" s="267" t="s">
        <v>3156</v>
      </c>
    </row>
    <row r="57" spans="2:15" ht="13.8">
      <c r="B57" s="1353" t="s">
        <v>3155</v>
      </c>
      <c r="C57" s="1353"/>
      <c r="D57" s="1353"/>
      <c r="E57" s="1353"/>
      <c r="F57" s="1353"/>
      <c r="G57" s="1353"/>
      <c r="H57" s="1353"/>
      <c r="I57" s="1353"/>
      <c r="J57" s="1353"/>
      <c r="K57" s="1353"/>
    </row>
  </sheetData>
  <sheetProtection algorithmName="SHA-512" hashValue="SCTTvkKM+UTN44O0Y+rethLvdlMtOek0l6y/j+//BRL44VxBb0s4IX7isJfh2O3erFLca9rDe23f3fYSU5AEuA==" saltValue="CP3Hgc0kG9wzgQGOp5ax+w==" spinCount="100000"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14F19-BFA8-4532-848B-BE12E4B5A886}">
  <sheetPr codeName="Sheet208">
    <tabColor theme="5" tint="0.59999389629810485"/>
  </sheetPr>
  <dimension ref="B2:Z52"/>
  <sheetViews>
    <sheetView zoomScaleNormal="100" zoomScaleSheetLayoutView="80" workbookViewId="0">
      <selection activeCell="B7" sqref="B7"/>
    </sheetView>
  </sheetViews>
  <sheetFormatPr defaultColWidth="8.88671875" defaultRowHeight="13.2"/>
  <cols>
    <col min="1" max="5" width="4.6640625" style="267" customWidth="1"/>
    <col min="6" max="8" width="8.88671875" style="267"/>
    <col min="9" max="9" width="6.33203125" style="267" customWidth="1"/>
    <col min="10" max="10" width="8.88671875" style="267"/>
    <col min="11" max="12" width="16.6640625" style="267" customWidth="1"/>
    <col min="13" max="13" width="13.5546875" style="267" bestFit="1" customWidth="1"/>
    <col min="14" max="14" width="11.88671875" style="267" bestFit="1" customWidth="1"/>
    <col min="15" max="16384" width="8.88671875" style="267"/>
  </cols>
  <sheetData>
    <row r="2" spans="2:26" ht="20.399999999999999">
      <c r="B2" s="1363" t="str">
        <f>"RESULTS  OF  "&amp;IF('KEY INPUTS'!C42="State Fiscal Year","FY  "&amp;'KEY INPUTS'!D33&amp;"",'KEY INPUTS'!D34)&amp;"  OPERATIONS  - "&amp;UPPER('KEY INPUTS'!D56)&amp;" UTILITY"</f>
        <v>RESULTS  OF  2024  OPERATIONS  -  UTILITY</v>
      </c>
      <c r="C2" s="1363"/>
      <c r="D2" s="1363"/>
      <c r="E2" s="1363"/>
      <c r="F2" s="1363"/>
      <c r="G2" s="1363"/>
      <c r="H2" s="1363"/>
      <c r="I2" s="1363"/>
      <c r="J2" s="1363"/>
      <c r="K2" s="1363"/>
      <c r="L2" s="1363"/>
    </row>
    <row r="3" spans="2:26" ht="13.8" thickBot="1"/>
    <row r="4" spans="2:26" ht="21" customHeight="1" thickTop="1" thickBot="1">
      <c r="B4" s="364"/>
      <c r="C4" s="364"/>
      <c r="D4" s="364"/>
      <c r="E4" s="364"/>
      <c r="F4" s="364"/>
      <c r="G4" s="364"/>
      <c r="H4" s="364"/>
      <c r="I4" s="364"/>
      <c r="J4" s="364"/>
      <c r="K4" s="304" t="s">
        <v>96</v>
      </c>
      <c r="L4" s="308" t="s">
        <v>97</v>
      </c>
    </row>
    <row r="5" spans="2:26" ht="21" customHeight="1" thickTop="1">
      <c r="B5" s="831" t="s">
        <v>209</v>
      </c>
      <c r="C5" s="313"/>
      <c r="D5" s="313"/>
      <c r="E5" s="313"/>
      <c r="F5" s="313"/>
      <c r="G5" s="313"/>
      <c r="H5" s="313"/>
      <c r="I5" s="313"/>
      <c r="J5" s="313"/>
      <c r="K5" s="826" t="s">
        <v>627</v>
      </c>
      <c r="L5" s="827">
        <f>IF(+'44-Utility3'!J22&gt;0,+'44-Utility3'!J22,0)</f>
        <v>0</v>
      </c>
      <c r="N5"/>
      <c r="O5"/>
      <c r="P5"/>
      <c r="Q5"/>
      <c r="R5"/>
      <c r="S5"/>
      <c r="T5"/>
    </row>
    <row r="6" spans="2:26" ht="21" customHeight="1">
      <c r="B6" s="802" t="s">
        <v>3601</v>
      </c>
      <c r="C6" s="248"/>
      <c r="D6" s="248"/>
      <c r="E6" s="248"/>
      <c r="F6" s="248"/>
      <c r="G6" s="248"/>
      <c r="H6" s="248"/>
      <c r="I6" s="248"/>
      <c r="J6" s="248"/>
      <c r="K6" s="828" t="s">
        <v>627</v>
      </c>
      <c r="L6" s="780">
        <f>+'44-Utility3'!J40</f>
        <v>0</v>
      </c>
      <c r="M6" s="573"/>
      <c r="N6"/>
      <c r="O6"/>
      <c r="P6"/>
      <c r="Q6"/>
      <c r="R6"/>
      <c r="S6"/>
      <c r="T6"/>
    </row>
    <row r="7" spans="2:26" ht="21" customHeight="1">
      <c r="B7" s="538" t="s">
        <v>210</v>
      </c>
      <c r="C7" s="248"/>
      <c r="D7" s="248"/>
      <c r="E7" s="248"/>
      <c r="F7" s="248"/>
      <c r="G7" s="248"/>
      <c r="H7" s="248"/>
      <c r="I7" s="248"/>
      <c r="J7" s="248"/>
      <c r="K7" s="828" t="s">
        <v>627</v>
      </c>
      <c r="L7" s="780">
        <f>'45-Utility3'!J17</f>
        <v>0</v>
      </c>
      <c r="N7" s="294"/>
      <c r="O7"/>
      <c r="P7"/>
      <c r="Q7"/>
      <c r="R7"/>
      <c r="S7"/>
      <c r="T7"/>
    </row>
    <row r="8" spans="2:26" ht="21" customHeight="1">
      <c r="B8" s="267" t="str">
        <f>"Unexpended Balances of "&amp;IF('KEY INPUTS'!C42="State Fiscal Year","FY "&amp;'KEY INPUTS'!D33-1&amp;"",'KEY INPUTS'!D34-1)&amp;" Appropriation Reserves*"</f>
        <v>Unexpended Balances of 2023 Appropriation Reserves*</v>
      </c>
      <c r="C8" s="248"/>
      <c r="D8" s="248"/>
      <c r="E8" s="248"/>
      <c r="F8" s="248"/>
      <c r="G8" s="248"/>
      <c r="H8" s="248"/>
      <c r="I8" s="248"/>
      <c r="J8" s="248"/>
      <c r="K8" s="828" t="s">
        <v>627</v>
      </c>
      <c r="L8" s="780">
        <f>+'45-Utility3'!K50</f>
        <v>0</v>
      </c>
      <c r="N8"/>
      <c r="O8"/>
      <c r="P8"/>
      <c r="Q8"/>
      <c r="R8"/>
      <c r="S8"/>
      <c r="T8"/>
    </row>
    <row r="9" spans="2:26" ht="21" customHeight="1">
      <c r="B9" s="544"/>
      <c r="C9" s="495"/>
      <c r="D9" s="495"/>
      <c r="E9" s="495"/>
      <c r="F9" s="495"/>
      <c r="G9" s="495"/>
      <c r="H9" s="495"/>
      <c r="I9" s="248"/>
      <c r="J9" s="248"/>
      <c r="K9" s="504"/>
      <c r="L9" s="457"/>
      <c r="N9"/>
      <c r="O9"/>
      <c r="P9"/>
      <c r="Q9"/>
      <c r="R9"/>
      <c r="S9"/>
      <c r="T9"/>
    </row>
    <row r="10" spans="2:26" ht="21" customHeight="1">
      <c r="B10" s="267" t="s">
        <v>3162</v>
      </c>
      <c r="K10" s="533">
        <f>IF(+'44-Utility3'!J22&lt;0,-'44-Utility3'!J22,0)</f>
        <v>0</v>
      </c>
      <c r="L10" s="829" t="s">
        <v>627</v>
      </c>
      <c r="M10" s="301">
        <f>+L9+L8+L7+L6+L5-K11-K10-K9</f>
        <v>0</v>
      </c>
      <c r="N10" s="550" t="s">
        <v>3371</v>
      </c>
      <c r="O10"/>
      <c r="P10"/>
      <c r="Q10"/>
      <c r="R10"/>
      <c r="S10"/>
      <c r="T10"/>
      <c r="V10" s="366">
        <f>-'44-Utility3'!U22</f>
        <v>0</v>
      </c>
    </row>
    <row r="11" spans="2:26" ht="21" customHeight="1">
      <c r="B11" s="544"/>
      <c r="C11" s="824"/>
      <c r="D11" s="495"/>
      <c r="E11" s="495"/>
      <c r="F11" s="495"/>
      <c r="G11" s="495"/>
      <c r="H11" s="495"/>
      <c r="I11" s="248"/>
      <c r="J11" s="248"/>
      <c r="K11" s="450"/>
      <c r="L11" s="829" t="s">
        <v>627</v>
      </c>
      <c r="N11"/>
      <c r="O11"/>
      <c r="P11"/>
      <c r="Q11"/>
      <c r="R11"/>
      <c r="S11"/>
      <c r="T11"/>
      <c r="U11"/>
      <c r="V11"/>
      <c r="W11"/>
      <c r="X11"/>
      <c r="Y11"/>
      <c r="Z11"/>
    </row>
    <row r="12" spans="2:26" ht="21" customHeight="1">
      <c r="B12" s="538" t="s">
        <v>211</v>
      </c>
      <c r="C12" s="802"/>
      <c r="D12" s="248"/>
      <c r="E12" s="248"/>
      <c r="F12" s="248"/>
      <c r="G12" s="248"/>
      <c r="H12" s="248"/>
      <c r="I12" s="248"/>
      <c r="J12" s="248"/>
      <c r="K12" s="828" t="s">
        <v>627</v>
      </c>
      <c r="L12" s="365">
        <f>IF(M10&gt;0,0,M10*-1)</f>
        <v>0</v>
      </c>
      <c r="N12"/>
      <c r="O12"/>
      <c r="P12"/>
      <c r="Q12"/>
      <c r="R12"/>
      <c r="S12"/>
      <c r="T12"/>
      <c r="U12"/>
      <c r="V12"/>
      <c r="W12"/>
      <c r="X12"/>
      <c r="Y12"/>
      <c r="Z12"/>
    </row>
    <row r="13" spans="2:26" ht="21" customHeight="1" thickBot="1">
      <c r="B13" s="538" t="s">
        <v>212</v>
      </c>
      <c r="C13" s="802"/>
      <c r="D13" s="248"/>
      <c r="E13" s="248"/>
      <c r="F13" s="248"/>
      <c r="G13" s="248"/>
      <c r="H13" s="248"/>
      <c r="I13" s="248"/>
      <c r="J13" s="248"/>
      <c r="K13" s="533">
        <f>IF(M10&gt;0,M10,0)</f>
        <v>0</v>
      </c>
      <c r="L13" s="830" t="s">
        <v>627</v>
      </c>
      <c r="M13" s="301"/>
      <c r="N13"/>
      <c r="O13"/>
      <c r="P13"/>
      <c r="Q13"/>
      <c r="R13"/>
      <c r="S13"/>
      <c r="T13"/>
      <c r="U13"/>
      <c r="V13" s="365">
        <f>U11</f>
        <v>0</v>
      </c>
      <c r="W13"/>
      <c r="X13"/>
      <c r="Y13"/>
      <c r="Z13"/>
    </row>
    <row r="14" spans="2:26" ht="21" customHeight="1" thickBot="1">
      <c r="B14" s="309" t="s">
        <v>3161</v>
      </c>
      <c r="K14" s="785">
        <f>SUM(K5:K13)</f>
        <v>0</v>
      </c>
      <c r="L14" s="786">
        <f>SUM(L5:L13)</f>
        <v>0</v>
      </c>
      <c r="M14" s="301">
        <f>L14-K14</f>
        <v>0</v>
      </c>
      <c r="N14" s="550" t="s">
        <v>3371</v>
      </c>
      <c r="O14"/>
      <c r="P14"/>
      <c r="Q14"/>
      <c r="R14"/>
      <c r="S14"/>
      <c r="T14"/>
      <c r="U14"/>
      <c r="V14"/>
      <c r="W14"/>
      <c r="X14"/>
      <c r="Y14"/>
      <c r="Z14"/>
    </row>
    <row r="15" spans="2:26" ht="18.75" customHeight="1" thickTop="1">
      <c r="N15"/>
      <c r="O15"/>
      <c r="P15"/>
      <c r="Q15"/>
      <c r="R15"/>
      <c r="S15"/>
      <c r="T15"/>
    </row>
    <row r="16" spans="2:26" ht="18.75" customHeight="1">
      <c r="K16" s="301"/>
      <c r="N16"/>
      <c r="O16"/>
      <c r="P16"/>
      <c r="Q16"/>
      <c r="R16"/>
      <c r="S16"/>
      <c r="T16"/>
    </row>
    <row r="17" spans="2:20" ht="22.8">
      <c r="B17" s="1358" t="str">
        <f>"OPERATING  SURPLUS  - "&amp;UPPER('KEY INPUTS'!D56)&amp;" UTILITY"</f>
        <v>OPERATING  SURPLUS  -  UTILITY</v>
      </c>
      <c r="C17" s="1358"/>
      <c r="D17" s="1358"/>
      <c r="E17" s="1358"/>
      <c r="F17" s="1358"/>
      <c r="G17" s="1358"/>
      <c r="H17" s="1358"/>
      <c r="I17" s="1358"/>
      <c r="J17" s="1358"/>
      <c r="K17" s="1358"/>
      <c r="L17" s="1358"/>
      <c r="N17"/>
      <c r="O17"/>
      <c r="P17"/>
      <c r="Q17"/>
      <c r="R17"/>
      <c r="S17"/>
      <c r="T17"/>
    </row>
    <row r="18" spans="2:20" ht="6.75" customHeight="1" thickBot="1">
      <c r="N18"/>
      <c r="O18"/>
      <c r="P18"/>
      <c r="Q18"/>
      <c r="R18"/>
      <c r="S18"/>
      <c r="T18"/>
    </row>
    <row r="19" spans="2:20" ht="25.5" customHeight="1" thickTop="1" thickBot="1">
      <c r="B19" s="364"/>
      <c r="C19" s="364"/>
      <c r="D19" s="364"/>
      <c r="E19" s="364"/>
      <c r="F19" s="364"/>
      <c r="G19" s="364"/>
      <c r="H19" s="364"/>
      <c r="I19" s="364"/>
      <c r="J19" s="364"/>
      <c r="K19" s="304" t="s">
        <v>96</v>
      </c>
      <c r="L19" s="308" t="s">
        <v>97</v>
      </c>
      <c r="N19"/>
      <c r="O19"/>
      <c r="P19"/>
      <c r="Q19"/>
      <c r="R19"/>
      <c r="S19"/>
      <c r="T19"/>
    </row>
    <row r="20" spans="2:20" ht="21" customHeight="1" thickTop="1">
      <c r="B20" s="363" t="str">
        <f>IF('KEY INPUTS'!C42 = "State Fiscal Year", 'KEY INPUTS'!F25,'KEY INPUTS'!D25)</f>
        <v>Balance - January 1, 2024</v>
      </c>
      <c r="C20" s="313"/>
      <c r="D20" s="313"/>
      <c r="E20" s="313"/>
      <c r="F20" s="313"/>
      <c r="G20" s="313"/>
      <c r="H20" s="313"/>
      <c r="I20" s="313"/>
      <c r="J20" s="313"/>
      <c r="K20" s="903" t="s">
        <v>627</v>
      </c>
      <c r="L20" s="486"/>
      <c r="N20"/>
      <c r="O20"/>
      <c r="P20"/>
      <c r="Q20"/>
      <c r="R20"/>
      <c r="S20"/>
      <c r="T20"/>
    </row>
    <row r="21" spans="2:20" ht="21" customHeight="1">
      <c r="B21" s="524"/>
      <c r="C21" s="495"/>
      <c r="D21" s="495"/>
      <c r="E21" s="495"/>
      <c r="F21" s="495"/>
      <c r="G21" s="495"/>
      <c r="H21" s="495"/>
      <c r="I21" s="495"/>
      <c r="J21" s="495"/>
      <c r="K21" s="773"/>
      <c r="L21" s="457"/>
      <c r="N21"/>
      <c r="O21"/>
      <c r="P21"/>
      <c r="Q21"/>
      <c r="R21"/>
      <c r="S21"/>
      <c r="T21"/>
    </row>
    <row r="22" spans="2:20" ht="21" customHeight="1">
      <c r="B22" s="248" t="str">
        <f>"Excess in Results of "&amp;IF('KEY INPUTS'!C42="State Fiscal Year","Fiscal Year "&amp;'KEY INPUTS'!D33&amp;"",'KEY INPUTS'!D34)&amp;" Operations"</f>
        <v>Excess in Results of 2024 Operations</v>
      </c>
      <c r="C22" s="248"/>
      <c r="D22" s="248"/>
      <c r="E22" s="248"/>
      <c r="F22" s="248"/>
      <c r="G22" s="248"/>
      <c r="H22" s="248"/>
      <c r="I22" s="248"/>
      <c r="J22" s="248"/>
      <c r="K22" s="904" t="s">
        <v>627</v>
      </c>
      <c r="L22" s="780">
        <f>+K13</f>
        <v>0</v>
      </c>
    </row>
    <row r="23" spans="2:20" ht="21" customHeight="1">
      <c r="B23" s="248" t="str">
        <f>"Amount Appropriated in the "&amp;IF('KEY INPUTS'!C42="State Fiscal Year","FY "&amp;'KEY INPUTS'!D33&amp;"",'KEY INPUTS'!D34)&amp;" Budget - Cash"</f>
        <v>Amount Appropriated in the 2024 Budget - Cash</v>
      </c>
      <c r="C23" s="248"/>
      <c r="D23" s="248"/>
      <c r="E23" s="248"/>
      <c r="F23" s="248"/>
      <c r="G23" s="248"/>
      <c r="H23" s="248"/>
      <c r="I23" s="248"/>
      <c r="J23" s="248"/>
      <c r="K23" s="533">
        <f>'44-Utility3'!I7</f>
        <v>0</v>
      </c>
      <c r="L23" s="905" t="s">
        <v>627</v>
      </c>
    </row>
    <row r="24" spans="2:20">
      <c r="B24" s="267" t="str">
        <f>"Amount Appropriated in "&amp;IF('KEY INPUTS'!C42="State Fiscal Year","FY "&amp;'KEY INPUTS'!D33&amp;"",'KEY INPUTS'!D34)&amp;" Budget with Prior Written"</f>
        <v>Amount Appropriated in 2024 Budget with Prior Written</v>
      </c>
      <c r="K24" s="1382"/>
      <c r="L24" s="1470" t="s">
        <v>627</v>
      </c>
    </row>
    <row r="25" spans="2:20" ht="12.75" customHeight="1">
      <c r="B25" s="333" t="s">
        <v>841</v>
      </c>
      <c r="C25" s="333"/>
      <c r="D25" s="333"/>
      <c r="E25" s="333"/>
      <c r="F25" s="333"/>
      <c r="G25" s="333"/>
      <c r="H25" s="333"/>
      <c r="I25" s="333"/>
      <c r="J25" s="333"/>
      <c r="K25" s="1383"/>
      <c r="L25" s="1471"/>
    </row>
    <row r="26" spans="2:20" ht="21" customHeight="1">
      <c r="B26" s="524"/>
      <c r="C26" s="495"/>
      <c r="D26" s="495"/>
      <c r="E26" s="495"/>
      <c r="F26" s="495"/>
      <c r="G26" s="495"/>
      <c r="H26" s="495"/>
      <c r="I26" s="495"/>
      <c r="J26" s="495"/>
      <c r="K26" s="450"/>
      <c r="L26" s="825"/>
    </row>
    <row r="27" spans="2:20" ht="21" customHeight="1" thickBot="1">
      <c r="B27" s="248" t="str">
        <f>IF('KEY INPUTS'!C42 = "State Fiscal Year", 'KEY INPUTS'!F26,'KEY INPUTS'!D26)</f>
        <v>Balance - December 31, 2024</v>
      </c>
      <c r="C27" s="248"/>
      <c r="D27" s="248"/>
      <c r="E27" s="248"/>
      <c r="F27" s="248"/>
      <c r="G27" s="248"/>
      <c r="H27" s="248"/>
      <c r="I27" s="248"/>
      <c r="J27" s="248"/>
      <c r="K27" s="783">
        <f>+SUM(L20:L26)-SUM(K21:K26)</f>
        <v>0</v>
      </c>
      <c r="L27" s="906" t="s">
        <v>627</v>
      </c>
      <c r="N27" s="593" t="s">
        <v>3246</v>
      </c>
    </row>
    <row r="28" spans="2:20" ht="21" customHeight="1" thickBot="1">
      <c r="K28" s="785">
        <f>SUM(K21:K27)</f>
        <v>0</v>
      </c>
      <c r="L28" s="786">
        <f>SUM(L20:L27)</f>
        <v>0</v>
      </c>
    </row>
    <row r="29" spans="2:20" ht="13.8" thickTop="1"/>
    <row r="32" spans="2:20" ht="17.399999999999999">
      <c r="B32" s="1380" t="str">
        <f>"ANALYSIS  OF  BALANCE  "&amp;IF('KEY INPUTS'!C42="State Fiscal Year","JUNE  30,  "&amp;'KEY INPUTS'!D33&amp;"","DECEMBER 31, "&amp;'KEY INPUTS'!D34&amp;"")</f>
        <v>ANALYSIS  OF  BALANCE  DECEMBER 31, 2024</v>
      </c>
      <c r="C32" s="1380"/>
      <c r="D32" s="1380"/>
      <c r="E32" s="1380"/>
      <c r="F32" s="1380"/>
      <c r="G32" s="1380"/>
      <c r="H32" s="1380"/>
      <c r="I32" s="1380"/>
      <c r="J32" s="1380"/>
      <c r="K32" s="1380"/>
      <c r="L32" s="1380"/>
    </row>
    <row r="33" spans="2:14" ht="17.399999999999999">
      <c r="B33" s="1380" t="str">
        <f>"(FROM "&amp;UPPER('KEY INPUTS'!D56)&amp;" UTILITY  -  TRIAL  BALANCE)"</f>
        <v>(FROM  UTILITY  -  TRIAL  BALANCE)</v>
      </c>
      <c r="C33" s="1380"/>
      <c r="D33" s="1380"/>
      <c r="E33" s="1380"/>
      <c r="F33" s="1380"/>
      <c r="G33" s="1380"/>
      <c r="H33" s="1380"/>
      <c r="I33" s="1380"/>
      <c r="J33" s="1380"/>
      <c r="K33" s="1380"/>
      <c r="L33" s="1380"/>
    </row>
    <row r="34" spans="2:14" ht="13.8" thickBot="1"/>
    <row r="35" spans="2:14" ht="21" customHeight="1" thickTop="1">
      <c r="B35" s="313" t="s">
        <v>194</v>
      </c>
      <c r="C35" s="313"/>
      <c r="D35" s="313"/>
      <c r="E35" s="313"/>
      <c r="F35" s="313"/>
      <c r="G35" s="313"/>
      <c r="H35" s="313"/>
      <c r="I35" s="313"/>
      <c r="J35" s="313"/>
      <c r="K35" s="409"/>
      <c r="L35" s="833">
        <f>+'41-Utility3'!G13</f>
        <v>0</v>
      </c>
    </row>
    <row r="36" spans="2:14" ht="21" customHeight="1">
      <c r="B36" s="248" t="s">
        <v>315</v>
      </c>
      <c r="C36" s="248"/>
      <c r="D36" s="248"/>
      <c r="E36" s="248"/>
      <c r="F36" s="248"/>
      <c r="G36" s="248"/>
      <c r="H36" s="248"/>
      <c r="I36" s="248"/>
      <c r="J36" s="248"/>
      <c r="K36" s="407"/>
      <c r="L36" s="479"/>
    </row>
    <row r="37" spans="2:14" ht="21" customHeight="1" thickBot="1">
      <c r="B37" s="248" t="s">
        <v>663</v>
      </c>
      <c r="C37" s="248"/>
      <c r="D37" s="248"/>
      <c r="E37" s="248"/>
      <c r="F37" s="248"/>
      <c r="G37" s="248"/>
      <c r="H37" s="248"/>
      <c r="I37" s="248"/>
      <c r="J37" s="248"/>
      <c r="K37" s="407"/>
      <c r="L37" s="481"/>
    </row>
    <row r="38" spans="2:14" ht="21" customHeight="1" thickTop="1">
      <c r="B38" s="248"/>
      <c r="C38" s="248"/>
      <c r="D38" s="248" t="s">
        <v>317</v>
      </c>
      <c r="E38" s="248"/>
      <c r="F38" s="248"/>
      <c r="G38" s="248"/>
      <c r="H38" s="248"/>
      <c r="I38" s="248"/>
      <c r="J38" s="248"/>
      <c r="K38" s="407"/>
      <c r="L38" s="834">
        <f>SUM(L35:L37)</f>
        <v>0</v>
      </c>
    </row>
    <row r="39" spans="2:14" ht="21" customHeight="1" thickBot="1">
      <c r="B39" s="248" t="s">
        <v>362</v>
      </c>
      <c r="C39" s="248"/>
      <c r="D39" s="248"/>
      <c r="E39" s="248"/>
      <c r="F39" s="248"/>
      <c r="G39" s="248"/>
      <c r="H39" s="248"/>
      <c r="I39" s="248"/>
      <c r="J39" s="248"/>
      <c r="K39" s="407"/>
      <c r="L39" s="835">
        <f>+'41-Utility3'!H39</f>
        <v>0</v>
      </c>
    </row>
    <row r="40" spans="2:14" ht="21" customHeight="1" thickTop="1">
      <c r="B40" s="248"/>
      <c r="C40" s="248"/>
      <c r="D40" s="248" t="s">
        <v>207</v>
      </c>
      <c r="E40" s="248"/>
      <c r="F40" s="248"/>
      <c r="G40" s="248"/>
      <c r="H40" s="248"/>
      <c r="I40" s="248"/>
      <c r="J40" s="248"/>
      <c r="K40" s="407"/>
      <c r="L40" s="834">
        <f>+L38-L39</f>
        <v>0</v>
      </c>
    </row>
    <row r="41" spans="2:14" ht="21" customHeight="1">
      <c r="B41" s="248" t="s">
        <v>369</v>
      </c>
      <c r="C41" s="248"/>
      <c r="D41" s="248"/>
      <c r="E41" s="248"/>
      <c r="F41" s="248"/>
      <c r="G41" s="248"/>
      <c r="H41" s="248"/>
      <c r="I41" s="248"/>
      <c r="J41" s="248"/>
      <c r="K41" s="312"/>
      <c r="L41" s="777"/>
    </row>
    <row r="42" spans="2:14" ht="22.5" customHeight="1">
      <c r="B42" s="248"/>
      <c r="C42" s="1379" t="s">
        <v>365</v>
      </c>
      <c r="D42" s="1379"/>
      <c r="E42" s="1379"/>
      <c r="F42" s="1379"/>
      <c r="G42" s="1379"/>
      <c r="H42" s="838"/>
      <c r="I42" s="248"/>
      <c r="J42" s="248"/>
      <c r="K42" s="450"/>
      <c r="L42" s="777"/>
    </row>
    <row r="43" spans="2:14" ht="21" customHeight="1">
      <c r="B43" s="248"/>
      <c r="C43" s="248" t="s">
        <v>208</v>
      </c>
      <c r="D43" s="248"/>
      <c r="E43" s="248"/>
      <c r="F43" s="248"/>
      <c r="G43" s="248"/>
      <c r="H43" s="248"/>
      <c r="I43" s="248"/>
      <c r="J43" s="248"/>
      <c r="K43" s="450"/>
      <c r="L43" s="777"/>
      <c r="M43" s="301"/>
      <c r="N43" s="301"/>
    </row>
    <row r="44" spans="2:14" ht="21" customHeight="1" thickBot="1">
      <c r="B44" s="248"/>
      <c r="C44" s="248"/>
      <c r="D44" s="248" t="s">
        <v>367</v>
      </c>
      <c r="E44" s="248"/>
      <c r="F44" s="248"/>
      <c r="G44" s="248"/>
      <c r="H44" s="248"/>
      <c r="I44" s="248"/>
      <c r="J44" s="248"/>
      <c r="K44" s="837"/>
      <c r="L44" s="784">
        <f>SUM(K42:K43)</f>
        <v>0</v>
      </c>
    </row>
    <row r="45" spans="2:14" ht="21" customHeight="1" thickBot="1">
      <c r="B45" s="361" t="str">
        <f>"# MAY NOT BE ANTICIPATED AS NON-CASH SURPLUS IN "&amp;TEXT('KEY INPUTS'!D34,"0")&amp;" BUDGET."</f>
        <v># MAY NOT BE ANTICIPATED AS NON-CASH SURPLUS IN 2024 BUDGET.</v>
      </c>
      <c r="K45" s="360"/>
      <c r="L45" s="836">
        <f>+L40+L44</f>
        <v>0</v>
      </c>
      <c r="M45" s="301"/>
      <c r="N45" s="593" t="s">
        <v>3246</v>
      </c>
    </row>
    <row r="46" spans="2:14" ht="13.8" thickTop="1">
      <c r="B46" s="359" t="s">
        <v>213</v>
      </c>
      <c r="C46" s="359"/>
    </row>
    <row r="47" spans="2:14">
      <c r="B47" s="359"/>
      <c r="C47" s="359" t="s">
        <v>3160</v>
      </c>
    </row>
    <row r="52" spans="2:12" ht="13.8">
      <c r="B52" s="1353" t="s">
        <v>3159</v>
      </c>
      <c r="C52" s="1353"/>
      <c r="D52" s="1353"/>
      <c r="E52" s="1353"/>
      <c r="F52" s="1353"/>
      <c r="G52" s="1353"/>
      <c r="H52" s="1353"/>
      <c r="I52" s="1353"/>
      <c r="J52" s="1353"/>
      <c r="K52" s="1353"/>
      <c r="L52" s="1353"/>
    </row>
  </sheetData>
  <sheetProtection algorithmName="SHA-512" hashValue="MtJoUWZMx5h7llMTRL8wZ3tTkXMPT0x2rtdHdYbTOl1j/U8FoPVNoU7WiPzuBE+116UObLvHjiJEcpslHH8sOQ==" saltValue="sgSa10l+zjsRHu/Z4XJ5Ag==" spinCount="100000"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F2B6D-78D6-4C57-9B5F-77532122842D}">
  <sheetPr codeName="Sheet209">
    <tabColor theme="5" tint="0.59999389629810485"/>
  </sheetPr>
  <dimension ref="B3:T69"/>
  <sheetViews>
    <sheetView zoomScaleNormal="100" zoomScaleSheetLayoutView="80" workbookViewId="0">
      <selection activeCell="B55" sqref="B55"/>
    </sheetView>
  </sheetViews>
  <sheetFormatPr defaultColWidth="9.109375" defaultRowHeight="13.2"/>
  <cols>
    <col min="1" max="4" width="4.6640625" style="267" customWidth="1"/>
    <col min="5" max="8" width="9.109375" style="267"/>
    <col min="9" max="9" width="1.6640625" style="267" customWidth="1"/>
    <col min="10" max="10" width="16.6640625" style="267" customWidth="1"/>
    <col min="11" max="11" width="1.6640625" style="267" customWidth="1"/>
    <col min="12" max="12" width="16.6640625" style="267" customWidth="1"/>
    <col min="13" max="16384" width="9.109375" style="267"/>
  </cols>
  <sheetData>
    <row r="3" spans="2:20" ht="17.399999999999999">
      <c r="B3" s="1386" t="str">
        <f>"SCHEDULE  OF "&amp;UPPER('KEY INPUTS'!D56&amp;"  UTILITY  ACCOUNTS  RECEIVABLE")</f>
        <v>SCHEDULE  OF   UTILITY  ACCOUNTS  RECEIVABLE</v>
      </c>
      <c r="C3" s="1386"/>
      <c r="D3" s="1386"/>
      <c r="E3" s="1386"/>
      <c r="F3" s="1386"/>
      <c r="G3" s="1386"/>
      <c r="H3" s="1386"/>
      <c r="I3" s="1386"/>
      <c r="J3" s="1386"/>
      <c r="K3" s="1386"/>
      <c r="L3" s="1386"/>
    </row>
    <row r="6" spans="2:20">
      <c r="B6" s="367" t="str">
        <f>IF('KEY INPUTS'!C42="State Fiscal Year","Balance June 30, "&amp;'KEY INPUTS'!D33-1&amp;"","Balance December 31, "&amp;'KEY INPUTS'!D34-1&amp;"")</f>
        <v>Balance December 31, 2023</v>
      </c>
      <c r="J6" s="61"/>
      <c r="K6" s="267" t="s">
        <v>373</v>
      </c>
      <c r="L6" s="431"/>
      <c r="N6"/>
      <c r="O6"/>
      <c r="P6"/>
      <c r="Q6"/>
      <c r="R6"/>
      <c r="S6"/>
      <c r="T6"/>
    </row>
    <row r="7" spans="2:20">
      <c r="J7" s="61"/>
      <c r="K7" s="61"/>
      <c r="L7" s="61"/>
      <c r="N7"/>
      <c r="O7"/>
      <c r="P7"/>
      <c r="Q7"/>
      <c r="R7"/>
      <c r="S7"/>
      <c r="T7"/>
    </row>
    <row r="8" spans="2:20">
      <c r="J8" s="61"/>
      <c r="K8" s="61"/>
      <c r="L8" s="61"/>
      <c r="N8" s="294"/>
      <c r="O8"/>
      <c r="P8"/>
      <c r="Q8"/>
      <c r="R8"/>
      <c r="S8"/>
      <c r="T8"/>
    </row>
    <row r="9" spans="2:20">
      <c r="J9" s="61"/>
      <c r="K9" s="61"/>
      <c r="L9" s="61"/>
      <c r="N9"/>
      <c r="O9"/>
      <c r="P9"/>
      <c r="Q9"/>
      <c r="R9"/>
      <c r="S9"/>
      <c r="T9"/>
    </row>
    <row r="10" spans="2:20">
      <c r="B10" s="267" t="s">
        <v>214</v>
      </c>
      <c r="J10" s="61"/>
      <c r="K10" s="61"/>
      <c r="L10" s="61"/>
      <c r="N10"/>
      <c r="O10"/>
      <c r="P10"/>
      <c r="Q10"/>
      <c r="R10"/>
      <c r="S10"/>
      <c r="T10"/>
    </row>
    <row r="11" spans="2:20">
      <c r="D11" s="267" t="s">
        <v>3482</v>
      </c>
      <c r="J11" s="61"/>
      <c r="K11" s="267" t="s">
        <v>373</v>
      </c>
      <c r="L11" s="431"/>
      <c r="N11"/>
      <c r="O11"/>
      <c r="P11"/>
      <c r="Q11"/>
      <c r="R11"/>
      <c r="S11"/>
      <c r="T11"/>
    </row>
    <row r="12" spans="2:20">
      <c r="J12" s="61"/>
      <c r="K12" s="61"/>
      <c r="L12" s="61"/>
      <c r="N12"/>
      <c r="O12"/>
      <c r="P12"/>
      <c r="Q12"/>
      <c r="R12"/>
      <c r="S12"/>
      <c r="T12"/>
    </row>
    <row r="13" spans="2:20">
      <c r="J13" s="61"/>
      <c r="K13" s="61"/>
      <c r="L13" s="61"/>
      <c r="N13"/>
      <c r="O13"/>
      <c r="P13"/>
      <c r="Q13"/>
      <c r="R13"/>
      <c r="S13"/>
      <c r="T13"/>
    </row>
    <row r="14" spans="2:20">
      <c r="J14" s="61"/>
      <c r="K14" s="61"/>
      <c r="L14" s="61"/>
      <c r="N14"/>
      <c r="O14"/>
      <c r="P14"/>
      <c r="Q14"/>
      <c r="R14"/>
      <c r="S14"/>
      <c r="T14"/>
    </row>
    <row r="15" spans="2:20">
      <c r="B15" s="267" t="s">
        <v>215</v>
      </c>
      <c r="J15" s="61"/>
      <c r="K15" s="61"/>
      <c r="L15" s="61"/>
      <c r="N15"/>
      <c r="O15"/>
      <c r="P15"/>
      <c r="Q15"/>
      <c r="R15"/>
      <c r="S15"/>
      <c r="T15"/>
    </row>
    <row r="16" spans="2:20" ht="21" customHeight="1">
      <c r="D16" s="267" t="s">
        <v>216</v>
      </c>
      <c r="I16" s="267" t="s">
        <v>373</v>
      </c>
      <c r="J16" s="431"/>
      <c r="K16" s="61"/>
      <c r="L16" s="61"/>
      <c r="N16"/>
      <c r="O16"/>
      <c r="P16"/>
      <c r="Q16"/>
      <c r="R16"/>
      <c r="S16"/>
      <c r="T16"/>
    </row>
    <row r="17" spans="2:20" ht="21" customHeight="1">
      <c r="D17" s="267" t="s">
        <v>217</v>
      </c>
      <c r="I17" s="267" t="s">
        <v>373</v>
      </c>
      <c r="J17" s="431"/>
      <c r="K17" s="61"/>
      <c r="L17" s="61"/>
      <c r="N17"/>
      <c r="O17"/>
      <c r="P17"/>
      <c r="Q17"/>
      <c r="R17"/>
      <c r="S17"/>
      <c r="T17"/>
    </row>
    <row r="18" spans="2:20" ht="21" customHeight="1">
      <c r="D18" s="267" t="s">
        <v>3483</v>
      </c>
      <c r="I18" s="267" t="s">
        <v>373</v>
      </c>
      <c r="J18" s="431"/>
      <c r="K18" s="61"/>
      <c r="L18" s="61"/>
      <c r="N18"/>
      <c r="O18"/>
      <c r="P18"/>
      <c r="Q18"/>
      <c r="R18"/>
      <c r="S18"/>
      <c r="T18"/>
    </row>
    <row r="19" spans="2:20" ht="21" customHeight="1">
      <c r="D19" s="267" t="s">
        <v>218</v>
      </c>
      <c r="I19" s="267" t="s">
        <v>373</v>
      </c>
      <c r="J19" s="431"/>
      <c r="K19" s="61"/>
      <c r="L19" s="61"/>
      <c r="N19"/>
      <c r="O19"/>
      <c r="P19"/>
      <c r="Q19"/>
      <c r="R19"/>
      <c r="S19"/>
      <c r="T19"/>
    </row>
    <row r="20" spans="2:20">
      <c r="J20" s="61"/>
      <c r="K20" s="61"/>
      <c r="L20" s="61"/>
      <c r="N20"/>
      <c r="O20"/>
      <c r="P20"/>
      <c r="Q20"/>
      <c r="R20"/>
      <c r="S20"/>
      <c r="T20"/>
    </row>
    <row r="21" spans="2:20">
      <c r="J21" s="61"/>
      <c r="K21" s="267" t="s">
        <v>373</v>
      </c>
      <c r="L21" s="63">
        <f>SUM(J16:J19)</f>
        <v>0</v>
      </c>
      <c r="N21"/>
      <c r="O21"/>
      <c r="P21"/>
      <c r="Q21"/>
      <c r="R21"/>
      <c r="S21"/>
      <c r="T21"/>
    </row>
    <row r="22" spans="2:20">
      <c r="J22" s="61"/>
      <c r="K22" s="61"/>
      <c r="L22" s="61"/>
      <c r="N22"/>
      <c r="O22"/>
      <c r="P22"/>
      <c r="Q22"/>
      <c r="R22"/>
      <c r="S22"/>
      <c r="T22"/>
    </row>
    <row r="23" spans="2:20">
      <c r="J23" s="61"/>
      <c r="K23" s="61"/>
      <c r="L23" s="61"/>
    </row>
    <row r="24" spans="2:20" ht="13.8" thickBot="1">
      <c r="B24" s="367" t="str">
        <f>IF('KEY INPUTS'!C42="State Fiscal Year","Balance June 30, "&amp;'KEY INPUTS'!D33&amp;"","Balance December 31, "&amp;'KEY INPUTS'!D34&amp;"")</f>
        <v>Balance December 31, 2024</v>
      </c>
      <c r="J24" s="61"/>
      <c r="K24" s="267" t="s">
        <v>373</v>
      </c>
      <c r="L24" s="80">
        <f>+L6+L11-L21</f>
        <v>0</v>
      </c>
    </row>
    <row r="25" spans="2:20" ht="13.8" thickTop="1"/>
    <row r="28" spans="2:20">
      <c r="B28" s="333"/>
      <c r="C28" s="333"/>
      <c r="D28" s="333"/>
      <c r="E28" s="333"/>
      <c r="F28" s="333"/>
      <c r="G28" s="333"/>
      <c r="H28" s="333"/>
      <c r="I28" s="333"/>
      <c r="J28" s="333"/>
      <c r="K28" s="333"/>
      <c r="L28" s="333"/>
    </row>
    <row r="29" spans="2:20" ht="4.5" customHeight="1">
      <c r="B29" s="333"/>
      <c r="C29" s="333"/>
      <c r="D29" s="333"/>
      <c r="E29" s="333"/>
      <c r="F29" s="333"/>
      <c r="G29" s="333"/>
      <c r="H29" s="333"/>
      <c r="I29" s="333"/>
      <c r="J29" s="333"/>
      <c r="K29" s="333"/>
      <c r="L29" s="333"/>
    </row>
    <row r="33" spans="2:12" ht="17.399999999999999">
      <c r="B33" s="1380" t="str">
        <f>"SCHEDULE  OF "&amp;UPPER('KEY INPUTS'!D56)&amp;" UTILITY  LIENS"</f>
        <v>SCHEDULE  OF  UTILITY  LIENS</v>
      </c>
      <c r="C33" s="1380"/>
      <c r="D33" s="1380"/>
      <c r="E33" s="1380"/>
      <c r="F33" s="1380"/>
      <c r="G33" s="1380"/>
      <c r="H33" s="1380"/>
      <c r="I33" s="1380"/>
      <c r="J33" s="1380"/>
      <c r="K33" s="1380"/>
      <c r="L33" s="1380"/>
    </row>
    <row r="36" spans="2:12">
      <c r="B36" s="367" t="str">
        <f>IF('KEY INPUTS'!C42="State Fiscal Year","Balance June 30, "&amp;'KEY INPUTS'!D33-1&amp;"","Balance December 31, "&amp;'KEY INPUTS'!D34-1&amp;"")</f>
        <v>Balance December 31, 2023</v>
      </c>
      <c r="I36" s="61"/>
      <c r="J36" s="61"/>
      <c r="K36" s="61" t="s">
        <v>373</v>
      </c>
      <c r="L36" s="431"/>
    </row>
    <row r="37" spans="2:12">
      <c r="I37" s="61"/>
      <c r="J37" s="61"/>
      <c r="K37" s="61"/>
      <c r="L37" s="61"/>
    </row>
    <row r="38" spans="2:12">
      <c r="I38" s="61"/>
      <c r="J38" s="61"/>
      <c r="K38" s="61"/>
      <c r="L38" s="61"/>
    </row>
    <row r="39" spans="2:12">
      <c r="I39" s="61"/>
      <c r="J39" s="61"/>
      <c r="K39" s="61"/>
      <c r="L39" s="61"/>
    </row>
    <row r="40" spans="2:12">
      <c r="B40" s="267" t="s">
        <v>214</v>
      </c>
      <c r="I40" s="61"/>
      <c r="J40" s="61"/>
      <c r="K40" s="61"/>
      <c r="L40" s="61"/>
    </row>
    <row r="41" spans="2:12" ht="21" customHeight="1">
      <c r="D41" s="267" t="s">
        <v>219</v>
      </c>
      <c r="I41" s="267" t="s">
        <v>373</v>
      </c>
      <c r="J41" s="431"/>
      <c r="K41" s="61"/>
      <c r="L41" s="61"/>
    </row>
    <row r="42" spans="2:12" ht="21" customHeight="1">
      <c r="D42" s="267" t="s">
        <v>220</v>
      </c>
      <c r="I42" s="267" t="s">
        <v>373</v>
      </c>
      <c r="J42" s="431"/>
      <c r="K42" s="61"/>
      <c r="L42" s="61"/>
    </row>
    <row r="43" spans="2:12" ht="21" customHeight="1">
      <c r="D43" s="267" t="s">
        <v>218</v>
      </c>
      <c r="I43" s="267" t="s">
        <v>373</v>
      </c>
      <c r="J43" s="431"/>
      <c r="K43" s="119"/>
      <c r="L43" s="119"/>
    </row>
    <row r="44" spans="2:12">
      <c r="I44" s="61"/>
      <c r="J44" s="61"/>
      <c r="K44" s="61"/>
      <c r="L44" s="61"/>
    </row>
    <row r="45" spans="2:12">
      <c r="I45" s="61"/>
      <c r="J45" s="61"/>
      <c r="K45" s="267" t="s">
        <v>373</v>
      </c>
      <c r="L45" s="63">
        <f>SUM(J41:J43)</f>
        <v>0</v>
      </c>
    </row>
    <row r="46" spans="2:12">
      <c r="I46" s="61"/>
      <c r="J46" s="61"/>
      <c r="K46" s="61"/>
      <c r="L46" s="61"/>
    </row>
    <row r="47" spans="2:12">
      <c r="B47" s="267" t="s">
        <v>215</v>
      </c>
      <c r="I47" s="61"/>
      <c r="J47" s="61"/>
      <c r="K47" s="61"/>
      <c r="L47" s="61"/>
    </row>
    <row r="48" spans="2:12" ht="21" customHeight="1">
      <c r="D48" s="267" t="s">
        <v>216</v>
      </c>
      <c r="I48" s="267" t="s">
        <v>373</v>
      </c>
      <c r="J48" s="431"/>
      <c r="K48" s="61"/>
      <c r="L48" s="61"/>
    </row>
    <row r="49" spans="2:12" ht="21" customHeight="1">
      <c r="D49" s="267" t="s">
        <v>218</v>
      </c>
      <c r="I49" s="267" t="s">
        <v>373</v>
      </c>
      <c r="J49" s="431"/>
      <c r="K49" s="61"/>
      <c r="L49" s="61"/>
    </row>
    <row r="50" spans="2:12">
      <c r="I50" s="61"/>
      <c r="J50" s="61"/>
      <c r="K50" s="61"/>
      <c r="L50" s="61"/>
    </row>
    <row r="51" spans="2:12">
      <c r="I51" s="61"/>
      <c r="J51" s="61"/>
      <c r="K51" s="267" t="s">
        <v>373</v>
      </c>
      <c r="L51" s="63">
        <f>+J49+J48</f>
        <v>0</v>
      </c>
    </row>
    <row r="52" spans="2:12">
      <c r="I52" s="61"/>
      <c r="J52" s="61"/>
      <c r="K52" s="61"/>
      <c r="L52" s="61"/>
    </row>
    <row r="53" spans="2:12">
      <c r="I53" s="61"/>
      <c r="J53" s="61"/>
      <c r="K53" s="61"/>
      <c r="L53" s="61"/>
    </row>
    <row r="54" spans="2:12" ht="13.8" thickBot="1">
      <c r="B54" s="367" t="str">
        <f>IF('KEY INPUTS'!C42="State Fiscal Year","Balance June 30, "&amp;'KEY INPUTS'!D33&amp;"","Balance December 31, "&amp;'KEY INPUTS'!D34&amp;"")</f>
        <v>Balance December 31, 2024</v>
      </c>
      <c r="I54" s="61"/>
      <c r="J54" s="61"/>
      <c r="K54" s="267" t="s">
        <v>373</v>
      </c>
      <c r="L54" s="80">
        <f>+L36+L45-L51</f>
        <v>0</v>
      </c>
    </row>
    <row r="55" spans="2:12" ht="13.8" thickTop="1">
      <c r="I55" s="61"/>
      <c r="J55" s="61"/>
      <c r="K55" s="61"/>
      <c r="L55" s="61"/>
    </row>
    <row r="69" spans="2:12" ht="13.8">
      <c r="B69" s="1353" t="s">
        <v>3163</v>
      </c>
      <c r="C69" s="1353"/>
      <c r="D69" s="1353"/>
      <c r="E69" s="1353"/>
      <c r="F69" s="1353"/>
      <c r="G69" s="1353"/>
      <c r="H69" s="1353"/>
      <c r="I69" s="1353"/>
      <c r="J69" s="1353"/>
      <c r="K69" s="1353"/>
      <c r="L69" s="1353"/>
    </row>
  </sheetData>
  <sheetProtection algorithmName="SHA-512" hashValue="HPucMdv/acKSxbA3mujI4TPGkYdNAR1G6qYZK7/wYC9lcA1Ed4jRvzkbm5HDBpqUzogDJ6fkBfh/5Mb4hr+kmQ==" saltValue="6i5WebPDQrm1ELCMjjUz0g=="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7C8AA-F46A-4F75-91E2-E067ED6A5BE6}">
  <sheetPr codeName="Sheet210">
    <tabColor theme="5" tint="0.59999389629810485"/>
  </sheetPr>
  <dimension ref="B3:W69"/>
  <sheetViews>
    <sheetView topLeftCell="A19" zoomScaleNormal="100" zoomScaleSheetLayoutView="80" workbookViewId="0">
      <selection activeCell="N45" sqref="N45"/>
    </sheetView>
  </sheetViews>
  <sheetFormatPr defaultColWidth="9.109375" defaultRowHeight="13.2"/>
  <cols>
    <col min="1" max="4" width="4.6640625" style="267" customWidth="1"/>
    <col min="5" max="6" width="9.109375" style="267"/>
    <col min="7" max="7" width="1.6640625" style="267" customWidth="1"/>
    <col min="8" max="8" width="14.6640625" style="267" customWidth="1"/>
    <col min="9" max="9" width="1.6640625" style="267" customWidth="1"/>
    <col min="10" max="10" width="14.6640625" style="267" customWidth="1"/>
    <col min="11" max="11" width="1.6640625" style="267" customWidth="1"/>
    <col min="12" max="12" width="14.6640625" style="267" customWidth="1"/>
    <col min="13" max="13" width="1.6640625" style="267" customWidth="1"/>
    <col min="14" max="14" width="14.6640625" style="267" customWidth="1"/>
    <col min="15" max="16384" width="9.109375" style="267"/>
  </cols>
  <sheetData>
    <row r="3" spans="2:23" ht="20.399999999999999">
      <c r="B3" s="1363" t="s">
        <v>868</v>
      </c>
      <c r="C3" s="1363"/>
      <c r="D3" s="1363"/>
      <c r="E3" s="1363"/>
      <c r="F3" s="1363"/>
      <c r="G3" s="1363"/>
      <c r="H3" s="1363"/>
      <c r="I3" s="1363"/>
      <c r="J3" s="1363"/>
      <c r="K3" s="1363"/>
      <c r="L3" s="1363"/>
      <c r="M3" s="1363"/>
      <c r="N3" s="1363"/>
    </row>
    <row r="4" spans="2:23" ht="15.6">
      <c r="B4" s="1391" t="s">
        <v>421</v>
      </c>
      <c r="C4" s="1391"/>
      <c r="D4" s="1391"/>
      <c r="E4" s="1391"/>
      <c r="F4" s="1391"/>
      <c r="G4" s="1391"/>
      <c r="H4" s="1391"/>
      <c r="I4" s="1391"/>
      <c r="J4" s="1391"/>
      <c r="K4" s="1391"/>
      <c r="L4" s="1391"/>
      <c r="M4" s="1391"/>
      <c r="N4" s="1391"/>
    </row>
    <row r="5" spans="2:23" ht="20.399999999999999">
      <c r="B5" s="1363" t="str">
        <f>UPPER('KEY INPUTS'!D56)&amp;" UTILITY  FUND"</f>
        <v xml:space="preserve"> UTILITY  FUND</v>
      </c>
      <c r="C5" s="1363"/>
      <c r="D5" s="1363"/>
      <c r="E5" s="1363"/>
      <c r="F5" s="1363"/>
      <c r="G5" s="1363"/>
      <c r="H5" s="1363"/>
      <c r="I5" s="1363"/>
      <c r="J5" s="1363"/>
      <c r="K5" s="1363"/>
      <c r="L5" s="1363"/>
      <c r="M5" s="1363"/>
      <c r="N5" s="1363"/>
    </row>
    <row r="6" spans="2:23">
      <c r="B6" s="1392" t="s">
        <v>3572</v>
      </c>
      <c r="C6" s="1392"/>
      <c r="D6" s="1392"/>
      <c r="E6" s="1392"/>
      <c r="F6" s="1392"/>
      <c r="G6" s="1392"/>
      <c r="H6" s="1392"/>
      <c r="I6" s="1392"/>
      <c r="J6" s="1392"/>
      <c r="K6" s="1392"/>
      <c r="L6" s="1392"/>
      <c r="M6" s="1392"/>
      <c r="N6" s="1392"/>
    </row>
    <row r="8" spans="2:23">
      <c r="H8" s="302" t="s">
        <v>414</v>
      </c>
    </row>
    <row r="9" spans="2:23">
      <c r="C9" s="1389" t="s">
        <v>434</v>
      </c>
      <c r="D9" s="1389"/>
      <c r="E9" s="1389"/>
      <c r="H9" s="374" t="str">
        <f>IF('KEY INPUTS'!C42 = "State Fiscal Year", 'KEY INPUTS'!F46,'KEY INPUTS'!D46)</f>
        <v>Dec. 31, 2023</v>
      </c>
      <c r="J9" s="302" t="s">
        <v>435</v>
      </c>
      <c r="L9" s="302" t="s">
        <v>414</v>
      </c>
      <c r="N9" s="302" t="s">
        <v>529</v>
      </c>
    </row>
    <row r="10" spans="2:23">
      <c r="H10" s="302" t="s">
        <v>433</v>
      </c>
      <c r="J10" s="302" t="str">
        <f>IF('KEY INPUTS'!C42="State Fiscal Year","Fiscal Year "&amp;'KEY INPUTS'!D33&amp;"",'KEY INPUTS'!D34)&amp;""</f>
        <v>2024</v>
      </c>
      <c r="L10" s="302" t="s">
        <v>436</v>
      </c>
      <c r="N10" s="302" t="s">
        <v>437</v>
      </c>
    </row>
    <row r="11" spans="2:23">
      <c r="H11" s="369" t="s">
        <v>432</v>
      </c>
      <c r="J11" s="369" t="s">
        <v>534</v>
      </c>
      <c r="L11" s="369" t="str">
        <f>IF('KEY INPUTS'!C42="State Fiscal Year","Fiscal Year "&amp;'KEY INPUTS'!D33&amp;"",'KEY INPUTS'!D34)&amp;""</f>
        <v>2024</v>
      </c>
      <c r="N11" s="373" t="str">
        <f>IF('KEY INPUTS'!C42 = "State Fiscal Year", 'KEY INPUTS'!F47,'KEY INPUTS'!D47)</f>
        <v>Dec. 31, 2024</v>
      </c>
      <c r="Q11"/>
      <c r="R11"/>
      <c r="S11"/>
      <c r="T11"/>
      <c r="U11"/>
      <c r="V11"/>
      <c r="W11"/>
    </row>
    <row r="12" spans="2:23">
      <c r="B12" s="368" t="s">
        <v>292</v>
      </c>
      <c r="C12" s="267" t="s">
        <v>869</v>
      </c>
      <c r="Q12"/>
      <c r="R12"/>
      <c r="S12"/>
      <c r="T12"/>
      <c r="U12"/>
      <c r="V12"/>
      <c r="W12"/>
    </row>
    <row r="13" spans="2:23">
      <c r="B13" s="368"/>
      <c r="D13" s="267" t="s">
        <v>870</v>
      </c>
      <c r="G13" s="267" t="s">
        <v>373</v>
      </c>
      <c r="H13" s="431"/>
      <c r="I13" s="267" t="s">
        <v>373</v>
      </c>
      <c r="J13" s="431"/>
      <c r="K13" s="267" t="s">
        <v>373</v>
      </c>
      <c r="L13" s="431"/>
      <c r="M13" s="267" t="s">
        <v>373</v>
      </c>
      <c r="N13" s="515">
        <f>+H13-J13+L13</f>
        <v>0</v>
      </c>
      <c r="Q13" s="294"/>
      <c r="R13"/>
      <c r="S13"/>
      <c r="T13"/>
      <c r="U13"/>
      <c r="V13"/>
      <c r="W13"/>
    </row>
    <row r="14" spans="2:23">
      <c r="B14" s="368"/>
      <c r="H14" s="61"/>
      <c r="J14" s="61"/>
      <c r="L14" s="61"/>
      <c r="Q14"/>
      <c r="R14"/>
      <c r="S14"/>
      <c r="T14"/>
      <c r="U14"/>
      <c r="V14"/>
      <c r="W14"/>
    </row>
    <row r="15" spans="2:23" ht="21" customHeight="1">
      <c r="B15" s="368" t="s">
        <v>293</v>
      </c>
      <c r="C15" s="514" t="s">
        <v>3131</v>
      </c>
      <c r="D15" s="514"/>
      <c r="E15" s="514"/>
      <c r="F15" s="514"/>
      <c r="G15" s="267" t="s">
        <v>373</v>
      </c>
      <c r="H15" s="431"/>
      <c r="I15" s="267" t="s">
        <v>373</v>
      </c>
      <c r="J15" s="431"/>
      <c r="K15" s="267" t="s">
        <v>373</v>
      </c>
      <c r="L15" s="431"/>
      <c r="M15" s="267" t="s">
        <v>373</v>
      </c>
      <c r="N15" s="515">
        <f>+H15-J15+L15</f>
        <v>0</v>
      </c>
      <c r="Q15"/>
      <c r="R15"/>
      <c r="S15"/>
      <c r="T15"/>
      <c r="U15"/>
      <c r="V15"/>
      <c r="W15"/>
    </row>
    <row r="16" spans="2:23" ht="21" customHeight="1">
      <c r="B16" s="368" t="s">
        <v>294</v>
      </c>
      <c r="C16" s="514"/>
      <c r="D16" s="514"/>
      <c r="E16" s="514"/>
      <c r="F16" s="514"/>
      <c r="G16" s="267" t="s">
        <v>373</v>
      </c>
      <c r="H16" s="431"/>
      <c r="I16" s="267" t="s">
        <v>373</v>
      </c>
      <c r="J16" s="431"/>
      <c r="K16" s="267" t="s">
        <v>373</v>
      </c>
      <c r="L16" s="431"/>
      <c r="M16" s="267" t="s">
        <v>373</v>
      </c>
      <c r="N16" s="515">
        <f>+H16-J16+L16</f>
        <v>0</v>
      </c>
      <c r="Q16"/>
      <c r="R16"/>
      <c r="S16"/>
      <c r="T16"/>
      <c r="U16"/>
      <c r="V16"/>
      <c r="W16"/>
    </row>
    <row r="17" spans="2:23" ht="21" customHeight="1">
      <c r="B17" s="368" t="s">
        <v>295</v>
      </c>
      <c r="C17" s="514"/>
      <c r="D17" s="514"/>
      <c r="E17" s="514"/>
      <c r="F17" s="514"/>
      <c r="G17" s="267" t="s">
        <v>373</v>
      </c>
      <c r="H17" s="431"/>
      <c r="I17" s="267" t="s">
        <v>373</v>
      </c>
      <c r="J17" s="431"/>
      <c r="K17" s="267" t="s">
        <v>373</v>
      </c>
      <c r="L17" s="431"/>
      <c r="M17" s="267" t="s">
        <v>373</v>
      </c>
      <c r="N17" s="515">
        <f t="shared" ref="N17:N23" si="0">+H17-J17+L17</f>
        <v>0</v>
      </c>
      <c r="Q17"/>
      <c r="R17"/>
      <c r="S17"/>
      <c r="T17"/>
      <c r="U17"/>
      <c r="V17"/>
      <c r="W17"/>
    </row>
    <row r="18" spans="2:23" ht="21" customHeight="1">
      <c r="B18" s="368" t="s">
        <v>296</v>
      </c>
      <c r="C18" s="514"/>
      <c r="D18" s="514"/>
      <c r="E18" s="514"/>
      <c r="F18" s="514"/>
      <c r="G18" s="267" t="s">
        <v>373</v>
      </c>
      <c r="H18" s="431"/>
      <c r="I18" s="267" t="s">
        <v>373</v>
      </c>
      <c r="J18" s="431"/>
      <c r="K18" s="267" t="s">
        <v>373</v>
      </c>
      <c r="L18" s="431"/>
      <c r="M18" s="267" t="s">
        <v>373</v>
      </c>
      <c r="N18" s="515">
        <f t="shared" si="0"/>
        <v>0</v>
      </c>
      <c r="Q18"/>
      <c r="R18"/>
      <c r="S18"/>
      <c r="T18"/>
      <c r="U18"/>
      <c r="V18"/>
      <c r="W18"/>
    </row>
    <row r="19" spans="2:23" ht="21" customHeight="1">
      <c r="B19" s="368"/>
      <c r="C19" s="840" t="s">
        <v>3207</v>
      </c>
      <c r="D19" s="840"/>
      <c r="E19" s="840"/>
      <c r="F19" s="840"/>
      <c r="G19" s="574" t="s">
        <v>373</v>
      </c>
      <c r="H19" s="431"/>
      <c r="I19" s="574" t="s">
        <v>373</v>
      </c>
      <c r="J19" s="431"/>
      <c r="K19" s="574" t="s">
        <v>373</v>
      </c>
      <c r="L19" s="431"/>
      <c r="M19" s="267" t="s">
        <v>373</v>
      </c>
      <c r="N19" s="515">
        <f t="shared" si="0"/>
        <v>0</v>
      </c>
      <c r="Q19"/>
      <c r="R19"/>
      <c r="S19"/>
      <c r="T19"/>
      <c r="U19"/>
      <c r="V19"/>
      <c r="W19"/>
    </row>
    <row r="20" spans="2:23" ht="21" customHeight="1">
      <c r="B20" s="368"/>
      <c r="C20" s="841" t="s">
        <v>3208</v>
      </c>
      <c r="D20" s="333"/>
      <c r="E20" s="840"/>
      <c r="F20" s="840"/>
      <c r="G20" s="574" t="s">
        <v>373</v>
      </c>
      <c r="H20" s="839">
        <f>H13+H15+H16+H17+H18+H19</f>
        <v>0</v>
      </c>
      <c r="I20" s="574" t="s">
        <v>373</v>
      </c>
      <c r="J20" s="839">
        <f>J13+J15+J16+J17+J18+J19</f>
        <v>0</v>
      </c>
      <c r="K20" s="574" t="s">
        <v>373</v>
      </c>
      <c r="L20" s="839">
        <f>L13+L15+L16+L17+L18+L19</f>
        <v>0</v>
      </c>
      <c r="M20" s="267" t="s">
        <v>373</v>
      </c>
      <c r="N20" s="839">
        <f>N13+N15+N16+N17+N18+N19</f>
        <v>0</v>
      </c>
      <c r="Q20"/>
      <c r="R20"/>
      <c r="S20"/>
      <c r="T20"/>
      <c r="U20"/>
      <c r="V20"/>
      <c r="W20"/>
    </row>
    <row r="21" spans="2:23" ht="21" customHeight="1">
      <c r="B21" s="368" t="s">
        <v>297</v>
      </c>
      <c r="C21" s="514"/>
      <c r="D21" s="514"/>
      <c r="E21" s="514"/>
      <c r="F21" s="514"/>
      <c r="G21" s="267" t="s">
        <v>373</v>
      </c>
      <c r="H21" s="431"/>
      <c r="I21" s="267" t="s">
        <v>373</v>
      </c>
      <c r="J21" s="431"/>
      <c r="K21" s="267" t="s">
        <v>373</v>
      </c>
      <c r="L21" s="431"/>
      <c r="M21" s="267" t="s">
        <v>373</v>
      </c>
      <c r="N21" s="515">
        <f t="shared" si="0"/>
        <v>0</v>
      </c>
      <c r="Q21"/>
      <c r="R21"/>
      <c r="S21"/>
      <c r="T21"/>
      <c r="U21"/>
      <c r="V21"/>
      <c r="W21"/>
    </row>
    <row r="22" spans="2:23" ht="21" customHeight="1">
      <c r="B22" s="368" t="s">
        <v>298</v>
      </c>
      <c r="C22" s="514"/>
      <c r="D22" s="514"/>
      <c r="E22" s="514"/>
      <c r="F22" s="514"/>
      <c r="G22" s="267" t="s">
        <v>373</v>
      </c>
      <c r="H22" s="431"/>
      <c r="I22" s="267" t="s">
        <v>373</v>
      </c>
      <c r="J22" s="431"/>
      <c r="K22" s="267" t="s">
        <v>373</v>
      </c>
      <c r="L22" s="431"/>
      <c r="M22" s="267" t="s">
        <v>373</v>
      </c>
      <c r="N22" s="515">
        <f t="shared" si="0"/>
        <v>0</v>
      </c>
      <c r="Q22"/>
      <c r="R22"/>
      <c r="S22"/>
      <c r="T22"/>
      <c r="U22"/>
      <c r="V22"/>
      <c r="W22"/>
    </row>
    <row r="23" spans="2:23" ht="21" customHeight="1">
      <c r="B23" s="368"/>
      <c r="C23" s="907" t="s">
        <v>3480</v>
      </c>
      <c r="D23" s="840"/>
      <c r="E23" s="840"/>
      <c r="F23" s="840"/>
      <c r="G23" s="574" t="s">
        <v>373</v>
      </c>
      <c r="H23" s="839">
        <f>H21+H22</f>
        <v>0</v>
      </c>
      <c r="I23" s="574" t="s">
        <v>373</v>
      </c>
      <c r="J23" s="839">
        <f>J21+J22</f>
        <v>0</v>
      </c>
      <c r="K23" s="574" t="s">
        <v>373</v>
      </c>
      <c r="L23" s="839">
        <f>L21+L22</f>
        <v>0</v>
      </c>
      <c r="M23" s="267" t="s">
        <v>373</v>
      </c>
      <c r="N23" s="515">
        <f t="shared" si="0"/>
        <v>0</v>
      </c>
      <c r="Q23"/>
      <c r="R23"/>
      <c r="S23"/>
      <c r="T23"/>
      <c r="U23"/>
      <c r="V23"/>
      <c r="W23"/>
    </row>
    <row r="24" spans="2:23">
      <c r="B24" s="368"/>
      <c r="Q24"/>
      <c r="R24"/>
      <c r="S24"/>
      <c r="T24"/>
      <c r="U24"/>
      <c r="V24"/>
      <c r="W24"/>
    </row>
    <row r="25" spans="2:23">
      <c r="B25" s="368"/>
      <c r="C25" s="267" t="s">
        <v>872</v>
      </c>
      <c r="Q25"/>
      <c r="R25"/>
      <c r="S25"/>
      <c r="T25"/>
      <c r="U25"/>
      <c r="V25"/>
      <c r="W25"/>
    </row>
    <row r="26" spans="2:23">
      <c r="B26" s="368"/>
      <c r="Q26"/>
      <c r="R26"/>
      <c r="S26"/>
      <c r="T26"/>
      <c r="U26"/>
      <c r="V26"/>
      <c r="W26"/>
    </row>
    <row r="27" spans="2:23">
      <c r="B27" s="368"/>
      <c r="Q27"/>
      <c r="R27"/>
      <c r="S27"/>
      <c r="T27"/>
      <c r="U27"/>
      <c r="V27"/>
      <c r="W27"/>
    </row>
    <row r="28" spans="2:23" ht="15.6">
      <c r="B28" s="1388" t="s">
        <v>3354</v>
      </c>
      <c r="C28" s="1388"/>
      <c r="D28" s="1388"/>
      <c r="E28" s="1388"/>
      <c r="F28" s="1388"/>
      <c r="G28" s="1388"/>
      <c r="H28" s="1388"/>
      <c r="I28" s="1388"/>
      <c r="J28" s="1388"/>
      <c r="K28" s="1388"/>
      <c r="L28" s="1388"/>
      <c r="M28" s="1388"/>
      <c r="N28" s="1388"/>
    </row>
    <row r="29" spans="2:23" ht="15.6">
      <c r="B29" s="1388" t="s">
        <v>3573</v>
      </c>
      <c r="C29" s="1388"/>
      <c r="D29" s="1388"/>
      <c r="E29" s="1388"/>
      <c r="F29" s="1388"/>
      <c r="G29" s="1388"/>
      <c r="H29" s="1388"/>
      <c r="I29" s="1388"/>
      <c r="J29" s="1388"/>
      <c r="K29" s="1388"/>
      <c r="L29" s="1388"/>
      <c r="M29" s="1388"/>
      <c r="N29" s="1388"/>
    </row>
    <row r="30" spans="2:23" ht="6.75" customHeight="1">
      <c r="B30" s="372"/>
      <c r="C30" s="372"/>
      <c r="D30" s="372"/>
      <c r="E30" s="372"/>
      <c r="F30" s="372"/>
      <c r="G30" s="372"/>
      <c r="H30" s="372"/>
      <c r="I30" s="372"/>
      <c r="J30" s="372"/>
      <c r="K30" s="372"/>
      <c r="L30" s="372"/>
      <c r="M30" s="372"/>
      <c r="N30" s="372"/>
    </row>
    <row r="31" spans="2:23" ht="18" customHeight="1">
      <c r="B31" s="368"/>
      <c r="D31" s="1390" t="s">
        <v>17</v>
      </c>
      <c r="E31" s="1390"/>
      <c r="F31" s="371"/>
      <c r="G31" s="1390" t="s">
        <v>413</v>
      </c>
      <c r="H31" s="1390"/>
      <c r="I31" s="1390"/>
      <c r="J31" s="1390"/>
      <c r="K31" s="1390"/>
      <c r="L31" s="1390"/>
      <c r="M31" s="371"/>
      <c r="N31" s="370" t="s">
        <v>414</v>
      </c>
    </row>
    <row r="32" spans="2:23" ht="21" customHeight="1">
      <c r="B32" s="368"/>
      <c r="C32" s="368" t="s">
        <v>292</v>
      </c>
      <c r="D32" s="514"/>
      <c r="E32" s="514"/>
      <c r="G32" s="514"/>
      <c r="H32" s="514"/>
      <c r="I32" s="514"/>
      <c r="J32" s="514"/>
      <c r="K32" s="514"/>
      <c r="L32" s="514"/>
      <c r="M32" s="267" t="s">
        <v>373</v>
      </c>
      <c r="N32" s="293"/>
    </row>
    <row r="33" spans="2:14" ht="21" customHeight="1">
      <c r="B33" s="368"/>
      <c r="C33" s="368" t="s">
        <v>293</v>
      </c>
      <c r="D33" s="514"/>
      <c r="E33" s="514"/>
      <c r="G33" s="514"/>
      <c r="H33" s="514"/>
      <c r="I33" s="514"/>
      <c r="J33" s="514"/>
      <c r="K33" s="514"/>
      <c r="L33" s="514"/>
      <c r="M33" s="267" t="s">
        <v>373</v>
      </c>
      <c r="N33" s="293"/>
    </row>
    <row r="34" spans="2:14" ht="21" customHeight="1">
      <c r="B34" s="368"/>
      <c r="C34" s="368" t="s">
        <v>294</v>
      </c>
      <c r="D34" s="514"/>
      <c r="E34" s="514"/>
      <c r="G34" s="514"/>
      <c r="H34" s="514"/>
      <c r="I34" s="514"/>
      <c r="J34" s="514"/>
      <c r="K34" s="514"/>
      <c r="L34" s="514"/>
      <c r="M34" s="267" t="s">
        <v>373</v>
      </c>
      <c r="N34" s="293"/>
    </row>
    <row r="35" spans="2:14" ht="21" customHeight="1">
      <c r="B35" s="368"/>
      <c r="C35" s="368" t="s">
        <v>295</v>
      </c>
      <c r="D35" s="514"/>
      <c r="E35" s="514"/>
      <c r="G35" s="514"/>
      <c r="H35" s="514"/>
      <c r="I35" s="514"/>
      <c r="J35" s="514"/>
      <c r="K35" s="514"/>
      <c r="L35" s="514"/>
      <c r="M35" s="267" t="s">
        <v>373</v>
      </c>
      <c r="N35" s="293"/>
    </row>
    <row r="36" spans="2:14" ht="21" customHeight="1">
      <c r="B36" s="368"/>
      <c r="C36" s="368" t="s">
        <v>296</v>
      </c>
      <c r="D36" s="514"/>
      <c r="E36" s="514"/>
      <c r="G36" s="514"/>
      <c r="H36" s="514"/>
      <c r="I36" s="514"/>
      <c r="J36" s="514"/>
      <c r="K36" s="514"/>
      <c r="L36" s="514"/>
      <c r="M36" s="267" t="s">
        <v>373</v>
      </c>
      <c r="N36" s="293"/>
    </row>
    <row r="37" spans="2:14">
      <c r="B37" s="368"/>
    </row>
    <row r="38" spans="2:14">
      <c r="B38" s="368"/>
    </row>
    <row r="39" spans="2:14">
      <c r="B39" s="368"/>
    </row>
    <row r="40" spans="2:14" ht="15.6">
      <c r="B40" s="1388" t="s">
        <v>250</v>
      </c>
      <c r="C40" s="1388"/>
      <c r="D40" s="1388"/>
      <c r="E40" s="1388"/>
      <c r="F40" s="1388"/>
      <c r="G40" s="1388"/>
      <c r="H40" s="1388"/>
      <c r="I40" s="1388"/>
      <c r="J40" s="1388"/>
      <c r="K40" s="1388"/>
      <c r="L40" s="1388"/>
      <c r="M40" s="1388"/>
      <c r="N40" s="1388"/>
    </row>
    <row r="41" spans="2:14">
      <c r="B41" s="368"/>
    </row>
    <row r="42" spans="2:14">
      <c r="B42" s="368"/>
      <c r="N42" s="302" t="s">
        <v>419</v>
      </c>
    </row>
    <row r="43" spans="2:14">
      <c r="B43" s="368"/>
      <c r="N43" s="302" t="s">
        <v>420</v>
      </c>
    </row>
    <row r="44" spans="2:14">
      <c r="B44" s="368"/>
      <c r="D44" s="1389" t="s">
        <v>416</v>
      </c>
      <c r="E44" s="1389"/>
      <c r="H44" s="1389" t="s">
        <v>417</v>
      </c>
      <c r="I44" s="1389"/>
      <c r="J44" s="369" t="s">
        <v>418</v>
      </c>
      <c r="L44" s="369" t="s">
        <v>414</v>
      </c>
      <c r="N44" s="369" t="str">
        <f>IF('KEY INPUTS'!C42="State Fiscal Year","Fiscal Year "&amp;'KEY INPUTS'!D33&amp;"",'KEY INPUTS'!D34)&amp;""</f>
        <v>2024</v>
      </c>
    </row>
    <row r="45" spans="2:14">
      <c r="B45" s="368"/>
    </row>
    <row r="46" spans="2:14" ht="21" customHeight="1">
      <c r="B46" s="368"/>
      <c r="C46" s="368" t="s">
        <v>292</v>
      </c>
      <c r="D46" s="514"/>
      <c r="E46" s="514"/>
      <c r="F46" s="514"/>
      <c r="G46" s="514"/>
      <c r="H46" s="514"/>
      <c r="I46" s="514"/>
      <c r="J46" s="514"/>
      <c r="K46" s="267" t="s">
        <v>373</v>
      </c>
      <c r="L46" s="293"/>
      <c r="M46" s="513"/>
      <c r="N46" s="293"/>
    </row>
    <row r="47" spans="2:14" ht="21" customHeight="1">
      <c r="B47" s="368"/>
      <c r="C47" s="368" t="s">
        <v>293</v>
      </c>
      <c r="D47" s="514"/>
      <c r="E47" s="514"/>
      <c r="F47" s="514"/>
      <c r="G47" s="514"/>
      <c r="H47" s="514"/>
      <c r="I47" s="514"/>
      <c r="J47" s="514"/>
      <c r="K47" s="267" t="s">
        <v>373</v>
      </c>
      <c r="L47" s="293"/>
      <c r="M47" s="513"/>
      <c r="N47" s="293"/>
    </row>
    <row r="48" spans="2:14" ht="21" customHeight="1">
      <c r="B48" s="368"/>
      <c r="C48" s="368" t="s">
        <v>294</v>
      </c>
      <c r="D48" s="514"/>
      <c r="E48" s="514"/>
      <c r="F48" s="514"/>
      <c r="G48" s="514"/>
      <c r="H48" s="514"/>
      <c r="I48" s="514"/>
      <c r="J48" s="514"/>
      <c r="K48" s="267" t="s">
        <v>373</v>
      </c>
      <c r="L48" s="293"/>
      <c r="M48" s="513"/>
      <c r="N48" s="293"/>
    </row>
    <row r="49" spans="2:14" ht="21" customHeight="1">
      <c r="B49" s="368"/>
      <c r="C49" s="368" t="s">
        <v>295</v>
      </c>
      <c r="D49" s="514"/>
      <c r="E49" s="514"/>
      <c r="F49" s="514"/>
      <c r="G49" s="514"/>
      <c r="H49" s="514"/>
      <c r="I49" s="514"/>
      <c r="J49" s="514"/>
      <c r="K49" s="267" t="s">
        <v>373</v>
      </c>
      <c r="L49" s="293"/>
      <c r="M49" s="513"/>
      <c r="N49" s="293"/>
    </row>
    <row r="50" spans="2:14">
      <c r="B50" s="368"/>
    </row>
    <row r="51" spans="2:14">
      <c r="B51" s="368"/>
    </row>
    <row r="52" spans="2:14">
      <c r="B52" s="368"/>
    </row>
    <row r="53" spans="2:14">
      <c r="B53" s="368"/>
    </row>
    <row r="54" spans="2:14">
      <c r="B54" s="368"/>
    </row>
    <row r="55" spans="2:14">
      <c r="B55" s="368"/>
    </row>
    <row r="56" spans="2:14">
      <c r="B56" s="368"/>
    </row>
    <row r="57" spans="2:14">
      <c r="B57" s="368"/>
    </row>
    <row r="58" spans="2:14">
      <c r="B58" s="368"/>
    </row>
    <row r="59" spans="2:14">
      <c r="B59" s="368"/>
    </row>
    <row r="60" spans="2:14">
      <c r="B60" s="368"/>
    </row>
    <row r="61" spans="2:14" ht="13.8">
      <c r="B61" s="1387" t="s">
        <v>3164</v>
      </c>
      <c r="C61" s="1387"/>
      <c r="D61" s="1387"/>
      <c r="E61" s="1387"/>
      <c r="F61" s="1387"/>
      <c r="G61" s="1387"/>
      <c r="H61" s="1387"/>
      <c r="I61" s="1387"/>
      <c r="J61" s="1387"/>
      <c r="K61" s="1387"/>
      <c r="L61" s="1387"/>
      <c r="M61" s="1387"/>
      <c r="N61" s="1387"/>
    </row>
    <row r="62" spans="2:14">
      <c r="B62" s="368"/>
    </row>
    <row r="63" spans="2:14">
      <c r="B63" s="368"/>
    </row>
    <row r="64" spans="2:14">
      <c r="B64" s="368"/>
    </row>
    <row r="65" spans="2:2">
      <c r="B65" s="368"/>
    </row>
    <row r="66" spans="2:2">
      <c r="B66" s="368"/>
    </row>
    <row r="67" spans="2:2">
      <c r="B67" s="368"/>
    </row>
    <row r="68" spans="2:2">
      <c r="B68" s="368"/>
    </row>
    <row r="69" spans="2:2">
      <c r="B69" s="368"/>
    </row>
  </sheetData>
  <sheetProtection algorithmName="SHA-512" hashValue="zYreLTcWhRFzIVBjFSEs4wftDmJHg+JceBgWru4YTvt0tkvm+3i2Amy+O37AZLZmuJsr017nC29W2O8YyExW/g==" saltValue="Z8o98o7Zlm/n2K7cF9XnNA==" spinCount="100000" sheet="1" objects="1" scenarios="1"/>
  <mergeCells count="13">
    <mergeCell ref="B28:N28"/>
    <mergeCell ref="B3:N3"/>
    <mergeCell ref="B4:N4"/>
    <mergeCell ref="B5:N5"/>
    <mergeCell ref="B6:N6"/>
    <mergeCell ref="C9:E9"/>
    <mergeCell ref="B61:N61"/>
    <mergeCell ref="B29:N29"/>
    <mergeCell ref="D31:E31"/>
    <mergeCell ref="G31:L31"/>
    <mergeCell ref="B40:N40"/>
    <mergeCell ref="D44:E44"/>
    <mergeCell ref="H44:I44"/>
  </mergeCells>
  <pageMargins left="0.25" right="0.25" top="0.5" bottom="0.5" header="0.25" footer="0.25"/>
  <pageSetup paperSize="5" orientation="portrait" r:id="rId1"/>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CFD97-1F0D-4B56-B375-89519158CC80}">
  <sheetPr codeName="Sheet302">
    <tabColor theme="5" tint="0.59999389629810485"/>
  </sheetPr>
  <dimension ref="A2:O36"/>
  <sheetViews>
    <sheetView zoomScaleNormal="100" workbookViewId="0">
      <selection activeCell="J9" sqref="J9"/>
    </sheetView>
  </sheetViews>
  <sheetFormatPr defaultColWidth="9.109375" defaultRowHeight="13.2"/>
  <cols>
    <col min="1" max="1" width="5.6640625" customWidth="1"/>
    <col min="2" max="4" width="4.88671875" customWidth="1"/>
    <col min="5" max="5" width="46.6640625" customWidth="1"/>
    <col min="6" max="6" width="7.6640625" customWidth="1"/>
    <col min="7" max="8" width="16.6640625" customWidth="1"/>
    <col min="9" max="12" width="15.6640625" customWidth="1"/>
    <col min="13" max="13" width="10.44140625" bestFit="1" customWidth="1"/>
  </cols>
  <sheetData>
    <row r="2" spans="1:15" ht="17.399999999999999">
      <c r="B2" s="1186" t="s">
        <v>3527</v>
      </c>
      <c r="C2" s="1186"/>
      <c r="D2" s="1186"/>
      <c r="E2" s="1186"/>
      <c r="F2" s="1186"/>
      <c r="G2" s="1186"/>
      <c r="H2" s="1186"/>
      <c r="I2" s="1186"/>
      <c r="J2" s="1186"/>
      <c r="K2" s="1186"/>
      <c r="L2" s="1186"/>
    </row>
    <row r="5" spans="1:15" ht="13.8" thickBot="1"/>
    <row r="6" spans="1:15" ht="13.8" thickTop="1">
      <c r="B6" s="11"/>
      <c r="C6" s="11"/>
      <c r="D6" s="11"/>
      <c r="E6" s="752"/>
      <c r="F6" s="11"/>
      <c r="G6" s="12"/>
      <c r="H6" s="51"/>
      <c r="I6" s="12"/>
      <c r="J6" s="11"/>
      <c r="K6" s="11"/>
      <c r="L6" s="18"/>
    </row>
    <row r="7" spans="1:15" ht="15.6">
      <c r="B7" s="1174" t="s">
        <v>17</v>
      </c>
      <c r="C7" s="1174"/>
      <c r="D7" s="1174"/>
      <c r="E7" s="1252" t="s">
        <v>413</v>
      </c>
      <c r="F7" s="1214"/>
      <c r="G7" s="13" t="s">
        <v>414</v>
      </c>
      <c r="H7" s="1" t="s">
        <v>442</v>
      </c>
      <c r="I7" s="13" t="s">
        <v>529</v>
      </c>
      <c r="J7" s="1192" t="str">
        <f>"REDUCED  IN  "&amp;IF('KEY INPUTS'!C42="State Fiscal Year","FY  "&amp;'KEY INPUTS'!D33&amp;"",'KEY INPUTS'!D34)&amp;""</f>
        <v>REDUCED  IN  2024</v>
      </c>
      <c r="K7" s="1194"/>
      <c r="L7" s="21" t="s">
        <v>529</v>
      </c>
    </row>
    <row r="8" spans="1:15">
      <c r="E8" s="70"/>
      <c r="G8" s="13" t="s">
        <v>441</v>
      </c>
      <c r="H8" s="1" t="s">
        <v>443</v>
      </c>
      <c r="I8" s="245" t="str">
        <f>IF('KEY INPUTS'!C42 = "State Fiscal Year", 'KEY INPUTS'!F46,'KEY INPUTS'!D46)</f>
        <v>Dec. 31, 2023</v>
      </c>
      <c r="J8" s="13" t="str">
        <f>"By "&amp;IF('KEY INPUTS'!C42="State Fiscal Year","FY "&amp;'KEY INPUTS'!D33&amp;"",'KEY INPUTS'!D34)&amp;""</f>
        <v>By 2024</v>
      </c>
      <c r="K8" s="13" t="s">
        <v>439</v>
      </c>
      <c r="L8" s="244" t="str">
        <f>IF('KEY INPUTS'!C42 = "State Fiscal Year", 'KEY INPUTS'!F47,'KEY INPUTS'!D47)</f>
        <v>Dec. 31, 2024</v>
      </c>
    </row>
    <row r="9" spans="1:15" ht="13.8" thickBot="1">
      <c r="B9" s="10"/>
      <c r="C9" s="10"/>
      <c r="D9" s="10"/>
      <c r="E9" s="17"/>
      <c r="F9" s="10"/>
      <c r="G9" s="16"/>
      <c r="H9" s="29" t="s">
        <v>444</v>
      </c>
      <c r="I9" s="14"/>
      <c r="J9" s="16" t="s">
        <v>534</v>
      </c>
      <c r="K9" s="16" t="s">
        <v>440</v>
      </c>
      <c r="L9" s="19"/>
    </row>
    <row r="10" spans="1:15" ht="21" customHeight="1" thickTop="1">
      <c r="B10" s="1253"/>
      <c r="C10" s="1253"/>
      <c r="D10" s="1254"/>
      <c r="E10" s="441"/>
      <c r="F10" s="421"/>
      <c r="G10" s="442"/>
      <c r="H10" s="442"/>
      <c r="I10" s="443"/>
      <c r="J10" s="443"/>
      <c r="K10" s="443"/>
      <c r="L10" s="990">
        <f>+I10-J10-K10</f>
        <v>0</v>
      </c>
    </row>
    <row r="11" spans="1:15" ht="21" customHeight="1">
      <c r="B11" s="1255"/>
      <c r="C11" s="1156"/>
      <c r="D11" s="1256"/>
      <c r="E11" s="444"/>
      <c r="F11" s="423"/>
      <c r="G11" s="432"/>
      <c r="H11" s="432"/>
      <c r="I11" s="291"/>
      <c r="J11" s="291"/>
      <c r="K11" s="291"/>
      <c r="L11" s="991">
        <f>+I11-J11-K11</f>
        <v>0</v>
      </c>
      <c r="M11" s="204"/>
    </row>
    <row r="12" spans="1:15" ht="21" customHeight="1">
      <c r="B12" s="1255"/>
      <c r="C12" s="1156"/>
      <c r="D12" s="1256"/>
      <c r="E12" s="444"/>
      <c r="F12" s="423"/>
      <c r="G12" s="445"/>
      <c r="H12" s="432"/>
      <c r="I12" s="446"/>
      <c r="J12" s="291"/>
      <c r="K12" s="291"/>
      <c r="L12" s="991">
        <f t="shared" ref="L12:L23" si="0">+I12-J12-K12</f>
        <v>0</v>
      </c>
      <c r="M12" s="204"/>
    </row>
    <row r="13" spans="1:15" ht="21" customHeight="1">
      <c r="B13" s="1156"/>
      <c r="C13" s="1156"/>
      <c r="D13" s="1256"/>
      <c r="E13" s="444"/>
      <c r="F13" s="423"/>
      <c r="G13" s="432"/>
      <c r="H13" s="432"/>
      <c r="I13" s="291"/>
      <c r="J13" s="291"/>
      <c r="K13" s="291"/>
      <c r="L13" s="991">
        <f t="shared" si="0"/>
        <v>0</v>
      </c>
    </row>
    <row r="14" spans="1:15" ht="21" customHeight="1">
      <c r="B14" s="1255"/>
      <c r="C14" s="1156"/>
      <c r="D14" s="1256"/>
      <c r="E14" s="444"/>
      <c r="F14" s="423"/>
      <c r="G14" s="432"/>
      <c r="H14" s="432"/>
      <c r="I14" s="291"/>
      <c r="J14" s="291"/>
      <c r="K14" s="291"/>
      <c r="L14" s="991">
        <f t="shared" si="0"/>
        <v>0</v>
      </c>
      <c r="O14" s="294"/>
    </row>
    <row r="15" spans="1:15" ht="21" customHeight="1">
      <c r="B15" s="1255"/>
      <c r="C15" s="1156"/>
      <c r="D15" s="1256"/>
      <c r="E15" s="444"/>
      <c r="F15" s="423"/>
      <c r="G15" s="445"/>
      <c r="H15" s="432"/>
      <c r="I15" s="446"/>
      <c r="J15" s="291"/>
      <c r="K15" s="291"/>
      <c r="L15" s="991">
        <f t="shared" si="0"/>
        <v>0</v>
      </c>
    </row>
    <row r="16" spans="1:15" ht="21" customHeight="1">
      <c r="A16" s="1195" t="s">
        <v>3528</v>
      </c>
      <c r="B16" s="1156"/>
      <c r="C16" s="1156"/>
      <c r="D16" s="1256"/>
      <c r="E16" s="444"/>
      <c r="F16" s="423"/>
      <c r="G16" s="432"/>
      <c r="H16" s="432"/>
      <c r="I16" s="291"/>
      <c r="J16" s="291"/>
      <c r="K16" s="291"/>
      <c r="L16" s="991">
        <f t="shared" si="0"/>
        <v>0</v>
      </c>
    </row>
    <row r="17" spans="1:12" ht="21" customHeight="1">
      <c r="A17" s="1195"/>
      <c r="B17" s="1156"/>
      <c r="C17" s="1156"/>
      <c r="D17" s="1256"/>
      <c r="E17" s="444"/>
      <c r="F17" s="423"/>
      <c r="G17" s="432"/>
      <c r="H17" s="432"/>
      <c r="I17" s="291"/>
      <c r="J17" s="291"/>
      <c r="K17" s="291"/>
      <c r="L17" s="991">
        <f t="shared" si="0"/>
        <v>0</v>
      </c>
    </row>
    <row r="18" spans="1:12" ht="21" customHeight="1">
      <c r="A18" s="1195"/>
      <c r="B18" s="1156"/>
      <c r="C18" s="1156"/>
      <c r="D18" s="1256"/>
      <c r="E18" s="444"/>
      <c r="F18" s="423"/>
      <c r="G18" s="432"/>
      <c r="H18" s="432"/>
      <c r="I18" s="291"/>
      <c r="J18" s="291"/>
      <c r="K18" s="291"/>
      <c r="L18" s="991">
        <f t="shared" si="0"/>
        <v>0</v>
      </c>
    </row>
    <row r="19" spans="1:12" ht="21" customHeight="1">
      <c r="A19" s="265"/>
      <c r="B19" s="613"/>
      <c r="C19" s="613"/>
      <c r="D19" s="616"/>
      <c r="E19" s="444"/>
      <c r="F19" s="423"/>
      <c r="G19" s="432"/>
      <c r="H19" s="432"/>
      <c r="I19" s="291"/>
      <c r="J19" s="291"/>
      <c r="K19" s="291"/>
      <c r="L19" s="991">
        <f t="shared" si="0"/>
        <v>0</v>
      </c>
    </row>
    <row r="20" spans="1:12" ht="21" customHeight="1">
      <c r="A20" s="265"/>
      <c r="B20" s="613"/>
      <c r="C20" s="613"/>
      <c r="D20" s="616"/>
      <c r="E20" s="444"/>
      <c r="F20" s="423"/>
      <c r="G20" s="432"/>
      <c r="H20" s="432"/>
      <c r="I20" s="291"/>
      <c r="J20" s="291"/>
      <c r="K20" s="291"/>
      <c r="L20" s="991">
        <f t="shared" si="0"/>
        <v>0</v>
      </c>
    </row>
    <row r="21" spans="1:12" ht="21" customHeight="1">
      <c r="B21" s="1156"/>
      <c r="C21" s="1156"/>
      <c r="D21" s="1256"/>
      <c r="E21" s="444"/>
      <c r="F21" s="423"/>
      <c r="G21" s="432"/>
      <c r="H21" s="432"/>
      <c r="I21" s="291"/>
      <c r="J21" s="291"/>
      <c r="K21" s="291"/>
      <c r="L21" s="991">
        <f t="shared" si="0"/>
        <v>0</v>
      </c>
    </row>
    <row r="22" spans="1:12" ht="21" customHeight="1">
      <c r="B22" s="613"/>
      <c r="C22" s="613"/>
      <c r="D22" s="616"/>
      <c r="E22" s="444"/>
      <c r="F22" s="423"/>
      <c r="G22" s="432"/>
      <c r="H22" s="432"/>
      <c r="I22" s="291"/>
      <c r="J22" s="291"/>
      <c r="K22" s="291"/>
      <c r="L22" s="991">
        <f t="shared" si="0"/>
        <v>0</v>
      </c>
    </row>
    <row r="23" spans="1:12" ht="21" customHeight="1">
      <c r="B23" s="1156"/>
      <c r="C23" s="1156"/>
      <c r="D23" s="1256"/>
      <c r="E23" s="444"/>
      <c r="F23" s="423"/>
      <c r="G23" s="432"/>
      <c r="H23" s="432"/>
      <c r="I23" s="291"/>
      <c r="J23" s="291"/>
      <c r="K23" s="291"/>
      <c r="L23" s="991">
        <f t="shared" si="0"/>
        <v>0</v>
      </c>
    </row>
    <row r="24" spans="1:12" ht="21" customHeight="1" thickBot="1">
      <c r="F24" s="16" t="s">
        <v>639</v>
      </c>
      <c r="G24" s="724">
        <f t="shared" ref="G24:L24" si="1">SUM(G10:G23)</f>
        <v>0</v>
      </c>
      <c r="H24" s="724">
        <f t="shared" si="1"/>
        <v>0</v>
      </c>
      <c r="I24" s="724">
        <f t="shared" si="1"/>
        <v>0</v>
      </c>
      <c r="J24" s="724">
        <f t="shared" si="1"/>
        <v>0</v>
      </c>
      <c r="K24" s="724">
        <f t="shared" si="1"/>
        <v>0</v>
      </c>
      <c r="L24" s="640">
        <f t="shared" si="1"/>
        <v>0</v>
      </c>
    </row>
    <row r="25" spans="1:12" ht="12.75" customHeight="1" thickTop="1">
      <c r="I25" s="1"/>
      <c r="J25" s="1"/>
    </row>
    <row r="26" spans="1:12">
      <c r="B26" s="239" t="s">
        <v>3524</v>
      </c>
    </row>
    <row r="27" spans="1:12" ht="13.5" customHeight="1">
      <c r="B27" t="s">
        <v>123</v>
      </c>
    </row>
    <row r="28" spans="1:12" ht="13.5" customHeight="1">
      <c r="B28" s="34"/>
      <c r="J28" s="1164"/>
      <c r="K28" s="1164"/>
    </row>
    <row r="29" spans="1:12">
      <c r="J29" s="1257" t="s">
        <v>124</v>
      </c>
      <c r="K29" s="1257"/>
    </row>
    <row r="35" spans="9:12">
      <c r="L35" s="204">
        <f>+I24-J24-L24</f>
        <v>0</v>
      </c>
    </row>
    <row r="36" spans="9:12">
      <c r="I36" s="204"/>
      <c r="J36" s="204"/>
    </row>
  </sheetData>
  <sheetProtection algorithmName="SHA-512" hashValue="qAlPI1M60N3NwZdYTkV6Y6MerY0edn/hKDLyvZ5luB5OklGQxNy8rBPWEW+8erOX0zt5ZKTJT6B3a6h4DvV/sw==" saltValue="vDwLkgY/cW3y1cTpE+dvrA==" spinCount="100000" sheet="1" objects="1" scenarios="1"/>
  <mergeCells count="18">
    <mergeCell ref="A16:A18"/>
    <mergeCell ref="B16:D16"/>
    <mergeCell ref="B17:D17"/>
    <mergeCell ref="B18:D18"/>
    <mergeCell ref="B2:L2"/>
    <mergeCell ref="B7:D7"/>
    <mergeCell ref="E7:F7"/>
    <mergeCell ref="J7:K7"/>
    <mergeCell ref="B10:D10"/>
    <mergeCell ref="B11:D11"/>
    <mergeCell ref="B21:D21"/>
    <mergeCell ref="B23:D23"/>
    <mergeCell ref="J28:K28"/>
    <mergeCell ref="J29:K29"/>
    <mergeCell ref="B12:D12"/>
    <mergeCell ref="B13:D13"/>
    <mergeCell ref="B14:D14"/>
    <mergeCell ref="B15:D15"/>
  </mergeCells>
  <pageMargins left="0.25" right="0.25" top="0.5" bottom="0.5" header="0.25" footer="0.25"/>
  <pageSetup paperSize="5" orientation="landscape" r:id="rId1"/>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0E8B-650B-4EE8-AB01-877171915781}">
  <sheetPr codeName="Sheet211">
    <tabColor theme="5" tint="0.59999389629810485"/>
  </sheetPr>
  <dimension ref="B2:U50"/>
  <sheetViews>
    <sheetView zoomScaleNormal="100" zoomScaleSheetLayoutView="80" workbookViewId="0">
      <selection activeCell="G37" sqref="G37"/>
    </sheetView>
  </sheetViews>
  <sheetFormatPr defaultColWidth="8.88671875" defaultRowHeight="13.2"/>
  <cols>
    <col min="1" max="4" width="4.6640625" style="267" customWidth="1"/>
    <col min="5" max="5" width="17.88671875" style="267" customWidth="1"/>
    <col min="6" max="6" width="8.88671875" style="267"/>
    <col min="7" max="7" width="16.6640625" style="267" customWidth="1"/>
    <col min="8" max="8" width="1.6640625" style="267" customWidth="1"/>
    <col min="9" max="9" width="15.6640625" style="267" customWidth="1"/>
    <col min="10" max="10" width="1.6640625" style="267" customWidth="1"/>
    <col min="11" max="11" width="8.6640625" style="267" customWidth="1"/>
    <col min="12" max="12" width="7.6640625" style="267" customWidth="1"/>
    <col min="13" max="15" width="8.88671875" style="267"/>
    <col min="16" max="17" width="10.33203125" style="267" bestFit="1" customWidth="1"/>
    <col min="18" max="16384" width="8.88671875" style="267"/>
  </cols>
  <sheetData>
    <row r="2" spans="2:21" ht="20.399999999999999">
      <c r="B2" s="1363" t="s">
        <v>127</v>
      </c>
      <c r="C2" s="1363"/>
      <c r="D2" s="1363"/>
      <c r="E2" s="1363"/>
      <c r="F2" s="1363"/>
      <c r="G2" s="1363"/>
      <c r="H2" s="1363"/>
      <c r="I2" s="1363"/>
      <c r="J2" s="1363"/>
      <c r="K2" s="1363"/>
      <c r="L2" s="1363"/>
    </row>
    <row r="3" spans="2:21" ht="20.399999999999999">
      <c r="B3" s="1363" t="str">
        <f>" AND  "&amp;IF('KEY INPUTS'!C42="State Fiscal Year","FISCAL  YEAR  "&amp;'KEY INPUTS'!D33+1&amp;"",'KEY INPUTS'!D34+1)&amp;"  DEBT  SERVICE  FOR  BONDS"</f>
        <v xml:space="preserve"> AND  2025  DEBT  SERVICE  FOR  BONDS</v>
      </c>
      <c r="C3" s="1363"/>
      <c r="D3" s="1363"/>
      <c r="E3" s="1363"/>
      <c r="F3" s="1363"/>
      <c r="G3" s="1363"/>
      <c r="H3" s="1363"/>
      <c r="I3" s="1363"/>
      <c r="J3" s="1363"/>
      <c r="K3" s="1363"/>
      <c r="L3" s="1363"/>
    </row>
    <row r="4" spans="2:21" ht="15.6">
      <c r="B4" s="1360" t="str">
        <f>UPPER('KEY INPUTS'!D56)&amp;" UTILITY  ASSESSMENT  BONDS"</f>
        <v xml:space="preserve"> UTILITY  ASSESSMENT  BONDS</v>
      </c>
      <c r="C4" s="1360"/>
      <c r="D4" s="1360"/>
      <c r="E4" s="1360"/>
      <c r="F4" s="1360"/>
      <c r="G4" s="1360"/>
      <c r="H4" s="1360"/>
      <c r="I4" s="1360"/>
      <c r="J4" s="1360"/>
      <c r="K4" s="1360"/>
      <c r="L4" s="1360"/>
    </row>
    <row r="5" spans="2:21" ht="9.75" customHeight="1" thickBot="1">
      <c r="B5" s="383"/>
      <c r="C5" s="383"/>
      <c r="D5" s="383"/>
      <c r="E5" s="383"/>
      <c r="F5" s="383"/>
      <c r="G5" s="383"/>
      <c r="H5" s="383"/>
      <c r="I5" s="383"/>
      <c r="J5" s="383"/>
      <c r="K5" s="383"/>
      <c r="L5" s="383"/>
    </row>
    <row r="6" spans="2:21" ht="27.75" customHeight="1" thickTop="1" thickBot="1">
      <c r="B6" s="364"/>
      <c r="C6" s="364"/>
      <c r="D6" s="364"/>
      <c r="E6" s="364"/>
      <c r="F6" s="364"/>
      <c r="G6" s="304" t="s">
        <v>96</v>
      </c>
      <c r="H6" s="1401" t="s">
        <v>97</v>
      </c>
      <c r="I6" s="1351"/>
      <c r="J6" s="1407" t="str">
        <f>IF('KEY INPUTS'!C42="State Fiscal Year","Fiscal Year "&amp;'KEY INPUTS'!D33+1&amp;"",'KEY INPUTS'!D34+1)&amp;"  Debt Service"</f>
        <v>2025  Debt Service</v>
      </c>
      <c r="K6" s="1407"/>
      <c r="L6" s="1407"/>
      <c r="O6"/>
      <c r="P6"/>
      <c r="Q6"/>
      <c r="R6"/>
      <c r="S6"/>
      <c r="T6"/>
      <c r="U6"/>
    </row>
    <row r="7" spans="2:21" ht="21" customHeight="1" thickTop="1">
      <c r="B7" s="363" t="str">
        <f>'32-Bond Schedule'!B7</f>
        <v>Outstanding - January 1, 2024</v>
      </c>
      <c r="C7" s="313"/>
      <c r="D7" s="313"/>
      <c r="E7" s="313"/>
      <c r="F7" s="313"/>
      <c r="G7" s="801" t="s">
        <v>627</v>
      </c>
      <c r="H7" s="1293"/>
      <c r="I7" s="1294"/>
      <c r="O7"/>
      <c r="P7"/>
      <c r="Q7"/>
      <c r="R7"/>
      <c r="S7"/>
      <c r="T7"/>
      <c r="U7"/>
    </row>
    <row r="8" spans="2:21" ht="21" customHeight="1">
      <c r="B8" s="248" t="s">
        <v>92</v>
      </c>
      <c r="C8" s="248"/>
      <c r="D8" s="248"/>
      <c r="E8" s="248"/>
      <c r="F8" s="248"/>
      <c r="G8" s="804" t="s">
        <v>627</v>
      </c>
      <c r="H8" s="1291"/>
      <c r="I8" s="1292"/>
      <c r="O8" s="294"/>
      <c r="P8"/>
      <c r="Q8"/>
      <c r="R8"/>
      <c r="S8"/>
      <c r="T8"/>
      <c r="U8"/>
    </row>
    <row r="9" spans="2:21" ht="21" customHeight="1">
      <c r="B9" s="248"/>
      <c r="C9" s="248"/>
      <c r="D9" s="248"/>
      <c r="E9" s="248"/>
      <c r="F9" s="248"/>
      <c r="G9" s="804"/>
      <c r="H9" s="912"/>
      <c r="I9" s="842"/>
      <c r="O9"/>
      <c r="P9"/>
      <c r="Q9"/>
      <c r="R9"/>
      <c r="S9"/>
      <c r="T9"/>
      <c r="U9"/>
    </row>
    <row r="10" spans="2:21" ht="21" customHeight="1">
      <c r="B10" s="248" t="s">
        <v>254</v>
      </c>
      <c r="C10" s="248"/>
      <c r="D10" s="248"/>
      <c r="E10" s="248"/>
      <c r="F10" s="248"/>
      <c r="G10" s="450"/>
      <c r="H10" s="1408" t="s">
        <v>627</v>
      </c>
      <c r="I10" s="1409"/>
      <c r="O10"/>
      <c r="P10"/>
      <c r="Q10"/>
      <c r="R10"/>
      <c r="S10"/>
      <c r="T10"/>
      <c r="U10"/>
    </row>
    <row r="11" spans="2:21" ht="21" customHeight="1" thickBot="1">
      <c r="B11" s="248" t="str">
        <f>'32-Bond Schedule'!B11</f>
        <v>Outstanding - December 31, 2024</v>
      </c>
      <c r="C11" s="248"/>
      <c r="D11" s="248"/>
      <c r="E11" s="248"/>
      <c r="F11" s="248"/>
      <c r="G11" s="783">
        <f>+H7+H8-G10</f>
        <v>0</v>
      </c>
      <c r="H11" s="1405" t="s">
        <v>627</v>
      </c>
      <c r="I11" s="1406"/>
      <c r="O11"/>
      <c r="P11"/>
      <c r="Q11"/>
      <c r="R11"/>
      <c r="S11"/>
      <c r="T11"/>
      <c r="U11"/>
    </row>
    <row r="12" spans="2:21" ht="21" customHeight="1" thickBot="1">
      <c r="G12" s="785">
        <f>SUM(G7:G11)</f>
        <v>0</v>
      </c>
      <c r="H12" s="1393">
        <f>SUM(H7:I11)</f>
        <v>0</v>
      </c>
      <c r="I12" s="1394"/>
      <c r="O12"/>
      <c r="P12"/>
      <c r="Q12"/>
      <c r="R12"/>
      <c r="S12"/>
      <c r="T12"/>
      <c r="U12"/>
    </row>
    <row r="13" spans="2:21" ht="21" customHeight="1" thickTop="1">
      <c r="B13" s="333" t="str">
        <f>'49-Utility1'!B13</f>
        <v>2025 Bond Maturities - Assessment Bonds</v>
      </c>
      <c r="C13" s="333"/>
      <c r="D13" s="333"/>
      <c r="E13" s="333"/>
      <c r="F13" s="333"/>
      <c r="G13" s="333"/>
      <c r="H13" s="333"/>
      <c r="I13" s="381"/>
      <c r="J13" s="333" t="s">
        <v>373</v>
      </c>
      <c r="K13" s="1311"/>
      <c r="L13" s="1311"/>
      <c r="O13"/>
      <c r="P13"/>
      <c r="Q13"/>
      <c r="R13"/>
      <c r="S13"/>
      <c r="T13"/>
      <c r="U13"/>
    </row>
    <row r="14" spans="2:21" ht="21" customHeight="1" thickBot="1">
      <c r="B14" s="311" t="str">
        <f>'49-Utility1'!B14</f>
        <v>2025 Interest on Bonds</v>
      </c>
      <c r="C14" s="311"/>
      <c r="D14" s="311"/>
      <c r="E14" s="311"/>
      <c r="F14" s="311"/>
      <c r="G14" s="380"/>
      <c r="H14" s="311" t="s">
        <v>373</v>
      </c>
      <c r="I14" s="456"/>
      <c r="O14"/>
      <c r="P14"/>
      <c r="Q14"/>
      <c r="R14"/>
      <c r="S14"/>
      <c r="T14"/>
      <c r="U14"/>
    </row>
    <row r="15" spans="2:21" ht="16.5" customHeight="1" thickTop="1">
      <c r="B15" s="1402"/>
      <c r="C15" s="1402"/>
      <c r="D15" s="1402"/>
      <c r="E15" s="1402"/>
      <c r="F15" s="1402"/>
      <c r="G15" s="1402"/>
      <c r="H15" s="1402"/>
      <c r="I15" s="1403"/>
      <c r="O15"/>
      <c r="P15"/>
      <c r="Q15"/>
      <c r="R15"/>
      <c r="S15"/>
      <c r="T15"/>
      <c r="U15"/>
    </row>
    <row r="16" spans="2:21" ht="26.25" customHeight="1" thickBot="1">
      <c r="B16" s="1420" t="str">
        <f>UPPER('KEY INPUTS'!D56) &amp;" UTILITY  CAPITAL  BONDS"</f>
        <v xml:space="preserve"> UTILITY  CAPITAL  BONDS</v>
      </c>
      <c r="C16" s="1420"/>
      <c r="D16" s="1420"/>
      <c r="E16" s="1420"/>
      <c r="F16" s="1420"/>
      <c r="G16" s="1420"/>
      <c r="H16" s="1420"/>
      <c r="I16" s="1421"/>
      <c r="O16"/>
      <c r="P16"/>
      <c r="Q16"/>
      <c r="R16"/>
      <c r="S16"/>
      <c r="T16"/>
      <c r="U16"/>
    </row>
    <row r="17" spans="2:21" ht="21" customHeight="1" thickTop="1">
      <c r="B17" s="363" t="str">
        <f>'32-Bond Schedule'!B7</f>
        <v>Outstanding - January 1, 2024</v>
      </c>
      <c r="C17" s="313"/>
      <c r="D17" s="313"/>
      <c r="E17" s="313"/>
      <c r="F17" s="313"/>
      <c r="G17" s="801" t="s">
        <v>627</v>
      </c>
      <c r="H17" s="1293"/>
      <c r="I17" s="1294"/>
      <c r="O17"/>
      <c r="P17"/>
      <c r="Q17"/>
      <c r="R17"/>
      <c r="S17"/>
      <c r="T17"/>
      <c r="U17"/>
    </row>
    <row r="18" spans="2:21" ht="21" customHeight="1">
      <c r="B18" s="248" t="s">
        <v>92</v>
      </c>
      <c r="C18" s="248"/>
      <c r="D18" s="248"/>
      <c r="E18" s="248"/>
      <c r="F18" s="248"/>
      <c r="G18" s="804" t="s">
        <v>627</v>
      </c>
      <c r="H18" s="1291"/>
      <c r="I18" s="1292"/>
      <c r="O18"/>
      <c r="P18"/>
      <c r="Q18"/>
      <c r="R18"/>
      <c r="S18"/>
      <c r="T18"/>
      <c r="U18"/>
    </row>
    <row r="19" spans="2:21" ht="21" customHeight="1">
      <c r="B19" s="248" t="s">
        <v>254</v>
      </c>
      <c r="C19" s="248"/>
      <c r="D19" s="248"/>
      <c r="E19" s="248"/>
      <c r="F19" s="248"/>
      <c r="G19" s="450"/>
      <c r="H19" s="1408" t="s">
        <v>627</v>
      </c>
      <c r="I19" s="1409"/>
      <c r="O19"/>
      <c r="P19"/>
      <c r="Q19"/>
      <c r="R19"/>
      <c r="S19"/>
      <c r="T19"/>
      <c r="U19"/>
    </row>
    <row r="20" spans="2:21" ht="21" customHeight="1">
      <c r="B20" s="248"/>
      <c r="C20" s="248"/>
      <c r="D20" s="248"/>
      <c r="E20" s="248"/>
      <c r="F20" s="248"/>
      <c r="G20" s="533"/>
      <c r="H20" s="1395"/>
      <c r="I20" s="1396"/>
      <c r="O20"/>
      <c r="P20"/>
      <c r="Q20"/>
      <c r="R20"/>
      <c r="S20"/>
      <c r="T20"/>
      <c r="U20"/>
    </row>
    <row r="21" spans="2:21" ht="21" customHeight="1">
      <c r="B21" s="248"/>
      <c r="C21" s="248"/>
      <c r="D21" s="248"/>
      <c r="E21" s="248"/>
      <c r="F21" s="248"/>
      <c r="G21" s="533"/>
      <c r="H21" s="1395"/>
      <c r="I21" s="1396"/>
      <c r="O21"/>
      <c r="P21"/>
      <c r="Q21"/>
      <c r="R21"/>
      <c r="S21"/>
      <c r="T21"/>
      <c r="U21"/>
    </row>
    <row r="22" spans="2:21" ht="21" customHeight="1" thickBot="1">
      <c r="B22" s="248" t="str">
        <f>'32-Bond Schedule'!B11</f>
        <v>Outstanding - December 31, 2024</v>
      </c>
      <c r="C22" s="248"/>
      <c r="D22" s="248"/>
      <c r="E22" s="248"/>
      <c r="F22" s="248"/>
      <c r="G22" s="783">
        <f>+H17+H18-G19-G20-G21+H20+H21</f>
        <v>0</v>
      </c>
      <c r="H22" s="1405" t="s">
        <v>627</v>
      </c>
      <c r="I22" s="1406"/>
      <c r="O22"/>
      <c r="P22"/>
      <c r="Q22"/>
      <c r="R22"/>
      <c r="S22"/>
      <c r="T22"/>
      <c r="U22"/>
    </row>
    <row r="23" spans="2:21" ht="21" customHeight="1" thickBot="1">
      <c r="G23" s="785">
        <f>SUM(G17:G22)</f>
        <v>0</v>
      </c>
      <c r="H23" s="1393">
        <f>SUM(H17:I22)</f>
        <v>0</v>
      </c>
      <c r="I23" s="1394"/>
    </row>
    <row r="24" spans="2:21" ht="21" customHeight="1" thickTop="1">
      <c r="B24" s="333" t="str">
        <f>'49-Utility1'!B24</f>
        <v>2025 Bond Maturities - Capital Bonds</v>
      </c>
      <c r="C24" s="333"/>
      <c r="D24" s="333"/>
      <c r="E24" s="333"/>
      <c r="F24" s="333"/>
      <c r="G24" s="333"/>
      <c r="H24" s="333"/>
      <c r="I24" s="913"/>
      <c r="J24" s="333" t="s">
        <v>373</v>
      </c>
      <c r="K24" s="1311"/>
      <c r="L24" s="1311"/>
    </row>
    <row r="25" spans="2:21" ht="21" customHeight="1" thickBot="1">
      <c r="B25" s="311" t="str">
        <f>'49-Utility1'!B25</f>
        <v>2025 Interest on Bonds</v>
      </c>
      <c r="C25" s="311"/>
      <c r="D25" s="311"/>
      <c r="E25" s="311"/>
      <c r="F25" s="311"/>
      <c r="G25" s="380"/>
      <c r="H25" s="311" t="s">
        <v>373</v>
      </c>
      <c r="I25" s="456"/>
      <c r="J25" s="375"/>
      <c r="K25" s="311"/>
      <c r="L25" s="311" t="s">
        <v>3131</v>
      </c>
    </row>
    <row r="26" spans="2:21" ht="21" customHeight="1" thickTop="1"/>
    <row r="27" spans="2:21" ht="19.5" customHeight="1" thickBot="1">
      <c r="B27" s="1420" t="str">
        <f>"INTEREST  ON  BONDS  -  "&amp;UPPER('KEY INPUTS'!D56)&amp;"  UTILITY  BUDGET"</f>
        <v>INTEREST  ON  BONDS  -    UTILITY  BUDGET</v>
      </c>
      <c r="C27" s="1420"/>
      <c r="D27" s="1420"/>
      <c r="E27" s="1420"/>
      <c r="F27" s="1420"/>
      <c r="G27" s="1420"/>
      <c r="H27" s="1420"/>
      <c r="I27" s="1420"/>
      <c r="J27" s="1420"/>
      <c r="K27" s="1420"/>
      <c r="L27" s="1420"/>
    </row>
    <row r="28" spans="2:21" ht="21" customHeight="1" thickTop="1">
      <c r="B28" s="313" t="str">
        <f>'49-Utility1'!B28</f>
        <v>2025 Interest on Bonds (*Items)</v>
      </c>
      <c r="C28" s="313"/>
      <c r="D28" s="313"/>
      <c r="E28" s="313"/>
      <c r="F28" s="313"/>
      <c r="G28" s="313"/>
      <c r="H28" s="313" t="s">
        <v>373</v>
      </c>
      <c r="I28" s="384">
        <f>+I14+I25</f>
        <v>0</v>
      </c>
      <c r="O28" s="355"/>
      <c r="P28" s="355"/>
      <c r="Q28" s="355"/>
      <c r="R28" s="355"/>
    </row>
    <row r="29" spans="2:21" ht="21" customHeight="1">
      <c r="B29" s="248" t="str">
        <f>'49-Utility1'!B29</f>
        <v>Less: Interest Accrued to 12/31/2024 (Trial Balance)</v>
      </c>
      <c r="C29" s="248"/>
      <c r="D29" s="248"/>
      <c r="E29" s="248"/>
      <c r="F29" s="248"/>
      <c r="G29" s="248"/>
      <c r="H29" s="248" t="s">
        <v>373</v>
      </c>
      <c r="I29" s="517"/>
      <c r="O29" s="355"/>
      <c r="P29" s="355"/>
      <c r="Q29" s="355"/>
      <c r="R29" s="355"/>
    </row>
    <row r="30" spans="2:21" ht="21" customHeight="1">
      <c r="B30" s="248"/>
      <c r="C30" s="248" t="s">
        <v>317</v>
      </c>
      <c r="D30" s="248"/>
      <c r="E30" s="248"/>
      <c r="F30" s="248"/>
      <c r="G30" s="248"/>
      <c r="H30" s="248" t="s">
        <v>373</v>
      </c>
      <c r="I30" s="379">
        <f>+I28-I29</f>
        <v>0</v>
      </c>
      <c r="O30" s="355"/>
      <c r="P30" s="355"/>
      <c r="Q30" s="355"/>
      <c r="R30" s="355"/>
    </row>
    <row r="31" spans="2:21" ht="21" customHeight="1">
      <c r="B31" s="248" t="str">
        <f>'49-Utility1'!B31</f>
        <v>Add: Interest to be Accrued as of 12/31/2025</v>
      </c>
      <c r="C31" s="248"/>
      <c r="D31" s="248"/>
      <c r="E31" s="248"/>
      <c r="F31" s="248"/>
      <c r="G31" s="248"/>
      <c r="H31" s="248" t="s">
        <v>373</v>
      </c>
      <c r="I31" s="517"/>
      <c r="O31" s="355"/>
      <c r="P31" s="355"/>
      <c r="Q31" s="355"/>
      <c r="R31" s="355"/>
    </row>
    <row r="32" spans="2:21" ht="21" customHeight="1">
      <c r="B32" s="248" t="str">
        <f>'49-Utility1'!B32</f>
        <v>Required Appropriation 2025</v>
      </c>
      <c r="C32" s="248"/>
      <c r="D32" s="248"/>
      <c r="E32" s="248"/>
      <c r="F32" s="248"/>
      <c r="G32" s="248"/>
      <c r="H32" s="248"/>
      <c r="I32" s="919"/>
      <c r="J32" s="376" t="s">
        <v>373</v>
      </c>
      <c r="K32" s="1414">
        <f>+I30+I31</f>
        <v>0</v>
      </c>
      <c r="L32" s="1415"/>
      <c r="O32" s="355"/>
      <c r="P32" s="355"/>
      <c r="Q32" s="355"/>
      <c r="R32" s="355"/>
    </row>
    <row r="33" spans="2:12" ht="13.5" customHeight="1">
      <c r="K33" s="378"/>
      <c r="L33" s="302"/>
    </row>
    <row r="34" spans="2:12" ht="13.5" customHeight="1">
      <c r="K34" s="378"/>
      <c r="L34" s="302"/>
    </row>
    <row r="35" spans="2:12" ht="21" customHeight="1" thickBot="1">
      <c r="B35" s="1404" t="str">
        <f>'49-Utility1'!B35</f>
        <v>LIST  OF  BONDS  ISSUED  DURING  2024</v>
      </c>
      <c r="C35" s="1404"/>
      <c r="D35" s="1404"/>
      <c r="E35" s="1404"/>
      <c r="F35" s="1404"/>
      <c r="G35" s="1404"/>
      <c r="H35" s="1404"/>
      <c r="I35" s="1404"/>
      <c r="J35" s="1404"/>
      <c r="K35" s="1404"/>
      <c r="L35" s="1404"/>
    </row>
    <row r="36" spans="2:12" ht="27" customHeight="1" thickTop="1" thickBot="1">
      <c r="B36" s="1350" t="s">
        <v>413</v>
      </c>
      <c r="C36" s="1350"/>
      <c r="D36" s="1350"/>
      <c r="E36" s="1350"/>
      <c r="F36" s="1350"/>
      <c r="G36" s="304" t="str">
        <f>'49-Utility1'!G36</f>
        <v>2025 Maturity</v>
      </c>
      <c r="H36" s="1401" t="s">
        <v>91</v>
      </c>
      <c r="I36" s="1351"/>
      <c r="J36" s="1399" t="s">
        <v>89</v>
      </c>
      <c r="K36" s="1400"/>
      <c r="L36" s="377" t="s">
        <v>90</v>
      </c>
    </row>
    <row r="37" spans="2:12" ht="21" customHeight="1" thickTop="1">
      <c r="B37" s="518"/>
      <c r="C37" s="518"/>
      <c r="D37" s="518"/>
      <c r="E37" s="518"/>
      <c r="F37" s="518"/>
      <c r="G37" s="454"/>
      <c r="H37" s="1293"/>
      <c r="I37" s="1294"/>
      <c r="J37" s="1416"/>
      <c r="K37" s="1417"/>
      <c r="L37" s="671"/>
    </row>
    <row r="38" spans="2:12" ht="21" customHeight="1">
      <c r="B38" s="495"/>
      <c r="C38" s="495"/>
      <c r="D38" s="495"/>
      <c r="E38" s="495"/>
      <c r="F38" s="495"/>
      <c r="G38" s="450"/>
      <c r="H38" s="1291"/>
      <c r="I38" s="1292"/>
      <c r="J38" s="1397"/>
      <c r="K38" s="1398"/>
      <c r="L38" s="670"/>
    </row>
    <row r="39" spans="2:12" ht="21" customHeight="1">
      <c r="B39" s="495"/>
      <c r="C39" s="495"/>
      <c r="D39" s="495"/>
      <c r="E39" s="495"/>
      <c r="F39" s="495"/>
      <c r="G39" s="450"/>
      <c r="H39" s="1291"/>
      <c r="I39" s="1292"/>
      <c r="J39" s="1397"/>
      <c r="K39" s="1398"/>
      <c r="L39" s="670"/>
    </row>
    <row r="40" spans="2:12" ht="21" customHeight="1">
      <c r="B40" s="495"/>
      <c r="C40" s="495"/>
      <c r="D40" s="495"/>
      <c r="E40" s="495"/>
      <c r="F40" s="495"/>
      <c r="G40" s="450"/>
      <c r="H40" s="1291"/>
      <c r="I40" s="1292"/>
      <c r="J40" s="1397"/>
      <c r="K40" s="1398"/>
      <c r="L40" s="670"/>
    </row>
    <row r="41" spans="2:12" ht="21" customHeight="1" thickBot="1">
      <c r="B41" s="311"/>
      <c r="C41" s="311"/>
      <c r="D41" s="311"/>
      <c r="E41" s="311"/>
      <c r="F41" s="310"/>
      <c r="G41" s="785">
        <f>SUM(G37:G40)</f>
        <v>0</v>
      </c>
      <c r="H41" s="1410">
        <f>SUM(H37:I40)</f>
        <v>0</v>
      </c>
      <c r="I41" s="1411"/>
      <c r="J41" s="375"/>
      <c r="K41" s="311"/>
      <c r="L41" s="315"/>
    </row>
    <row r="42" spans="2:12" ht="13.8" thickTop="1">
      <c r="G42" s="347"/>
      <c r="H42" s="347"/>
      <c r="I42" s="347"/>
    </row>
    <row r="50" spans="2:12" ht="13.8">
      <c r="B50" s="1353" t="s">
        <v>3165</v>
      </c>
      <c r="C50" s="1353"/>
      <c r="D50" s="1353"/>
      <c r="E50" s="1353"/>
      <c r="F50" s="1353"/>
      <c r="G50" s="1353"/>
      <c r="H50" s="1353"/>
      <c r="I50" s="1353"/>
      <c r="J50" s="1353"/>
      <c r="K50" s="1353"/>
      <c r="L50" s="1353"/>
    </row>
  </sheetData>
  <sheetProtection algorithmName="SHA-512" hashValue="Zx7oXyEqYobkWSIx1GseyCy1oekR/0PTnsE70f5LdM2ttsAP1Vg8zOkzE8i3Xfofxz/sK8JhYDA5CW7yIL/zsQ==" saltValue="0NGOl9a/5BjUx5T1HwjkxQ=="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0:L50"/>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2F3ED-A0A9-4EDE-868D-D84A0C015271}">
  <sheetPr codeName="Sheet212">
    <tabColor theme="5" tint="0.59999389629810485"/>
  </sheetPr>
  <dimension ref="B2:U51"/>
  <sheetViews>
    <sheetView zoomScaleNormal="100" zoomScaleSheetLayoutView="80" workbookViewId="0">
      <selection activeCell="G37" sqref="G37"/>
    </sheetView>
  </sheetViews>
  <sheetFormatPr defaultColWidth="9.109375" defaultRowHeight="13.2"/>
  <cols>
    <col min="1" max="3" width="4.6640625" style="267" customWidth="1"/>
    <col min="4" max="4" width="4.5546875" style="267" customWidth="1"/>
    <col min="5" max="5" width="17.88671875" style="267" customWidth="1"/>
    <col min="6" max="6" width="9.109375" style="267"/>
    <col min="7" max="7" width="16.6640625" style="267" customWidth="1"/>
    <col min="8" max="8" width="1.6640625" style="267" customWidth="1"/>
    <col min="9" max="9" width="15.6640625" style="267" customWidth="1"/>
    <col min="10" max="10" width="1.6640625" style="267" customWidth="1"/>
    <col min="11" max="11" width="8.6640625" style="267" customWidth="1"/>
    <col min="12" max="12" width="7.6640625" style="267" customWidth="1"/>
    <col min="13" max="16" width="9.109375" style="267"/>
    <col min="17" max="17" width="11.109375" style="267" bestFit="1" customWidth="1"/>
    <col min="18" max="18" width="14.44140625" style="267" customWidth="1"/>
    <col min="19" max="16384" width="9.109375" style="267"/>
  </cols>
  <sheetData>
    <row r="2" spans="2:21" ht="20.399999999999999">
      <c r="B2" s="1363" t="s">
        <v>480</v>
      </c>
      <c r="C2" s="1363"/>
      <c r="D2" s="1363"/>
      <c r="E2" s="1363"/>
      <c r="F2" s="1363"/>
      <c r="G2" s="1363"/>
      <c r="H2" s="1363"/>
      <c r="I2" s="1363"/>
      <c r="J2" s="1363"/>
      <c r="K2" s="1363"/>
      <c r="L2" s="1363"/>
    </row>
    <row r="3" spans="2:21" ht="21" thickBot="1">
      <c r="B3" s="1363" t="str">
        <f>" AND  "&amp;IF('KEY INPUTS'!C42="State Fiscal Year","FISCAL  YEAR  "&amp;'KEY INPUTS'!D33+1&amp;"",'KEY INPUTS'!D34+1)&amp;"  DEBT  SERVICE  FOR  LOANS"</f>
        <v xml:space="preserve"> AND  2025  DEBT  SERVICE  FOR  LOANS</v>
      </c>
      <c r="C3" s="1363"/>
      <c r="D3" s="1363"/>
      <c r="E3" s="1363"/>
      <c r="F3" s="1363"/>
      <c r="G3" s="1363"/>
      <c r="H3" s="1363"/>
      <c r="I3" s="1363"/>
      <c r="J3" s="1363"/>
      <c r="K3" s="1363"/>
      <c r="L3" s="1363"/>
    </row>
    <row r="4" spans="2:21" ht="16.2" thickBot="1">
      <c r="B4" s="1360" t="str">
        <f>UPPER('KEY INPUTS'!D$56)&amp;" UTILITY "&amp;IF(R4&lt;&gt;"",(UPPER(R4)),"")&amp;" LOAN"</f>
        <v xml:space="preserve"> UTILITY  LOAN</v>
      </c>
      <c r="C4" s="1360"/>
      <c r="D4" s="1360"/>
      <c r="E4" s="1360"/>
      <c r="F4" s="1360"/>
      <c r="G4" s="1360"/>
      <c r="H4" s="1360"/>
      <c r="I4" s="1360"/>
      <c r="J4" s="1360"/>
      <c r="K4" s="1360"/>
      <c r="L4" s="1360"/>
      <c r="Q4" s="1056" t="s">
        <v>3576</v>
      </c>
      <c r="R4" s="1057"/>
    </row>
    <row r="5" spans="2:21" ht="9.75" customHeight="1" thickBot="1">
      <c r="B5" s="383"/>
      <c r="C5" s="383"/>
      <c r="D5" s="383"/>
      <c r="E5" s="383"/>
      <c r="F5" s="383"/>
      <c r="G5" s="383"/>
      <c r="H5" s="383"/>
      <c r="I5" s="383"/>
      <c r="J5" s="383"/>
      <c r="K5" s="383"/>
      <c r="L5" s="383"/>
    </row>
    <row r="6" spans="2:21" ht="27.75" customHeight="1" thickTop="1" thickBot="1">
      <c r="B6" s="364"/>
      <c r="C6" s="364"/>
      <c r="D6" s="364"/>
      <c r="E6" s="364"/>
      <c r="F6" s="364"/>
      <c r="G6" s="304" t="s">
        <v>96</v>
      </c>
      <c r="H6" s="1401" t="s">
        <v>97</v>
      </c>
      <c r="I6" s="1351"/>
      <c r="J6" s="1407" t="str">
        <f>IF('KEY INPUTS'!C42="State Fiscal Year","Fiscal Year "&amp;'KEY INPUTS'!D33+1&amp;"",'KEY INPUTS'!D34+1)&amp;"  Debt Service"</f>
        <v>2025  Debt Service</v>
      </c>
      <c r="K6" s="1407"/>
      <c r="L6" s="1407"/>
      <c r="O6"/>
      <c r="P6"/>
      <c r="Q6"/>
      <c r="R6"/>
      <c r="S6"/>
      <c r="T6"/>
      <c r="U6"/>
    </row>
    <row r="7" spans="2:21" ht="21" customHeight="1" thickTop="1">
      <c r="B7" s="363" t="str">
        <f>'49a-Utility2'!B7</f>
        <v>Outstanding - January 1, 2024</v>
      </c>
      <c r="C7" s="313"/>
      <c r="D7" s="313"/>
      <c r="E7" s="313"/>
      <c r="F7" s="313"/>
      <c r="G7" s="757" t="s">
        <v>627</v>
      </c>
      <c r="H7" s="1293"/>
      <c r="I7" s="1294"/>
      <c r="O7"/>
      <c r="P7"/>
      <c r="Q7"/>
      <c r="R7"/>
      <c r="S7"/>
      <c r="T7"/>
      <c r="U7"/>
    </row>
    <row r="8" spans="2:21" ht="21" customHeight="1">
      <c r="B8" s="248" t="s">
        <v>92</v>
      </c>
      <c r="C8" s="248"/>
      <c r="D8" s="248"/>
      <c r="E8" s="248"/>
      <c r="F8" s="248"/>
      <c r="G8" s="702" t="s">
        <v>627</v>
      </c>
      <c r="H8" s="1291"/>
      <c r="I8" s="1292"/>
      <c r="O8" s="294"/>
      <c r="P8"/>
      <c r="Q8"/>
      <c r="R8"/>
      <c r="S8"/>
      <c r="T8"/>
      <c r="U8"/>
    </row>
    <row r="9" spans="2:21" ht="21" customHeight="1">
      <c r="B9" s="248"/>
      <c r="C9" s="248"/>
      <c r="D9" s="248"/>
      <c r="E9" s="248"/>
      <c r="F9" s="248"/>
      <c r="G9" s="702"/>
      <c r="H9" s="914"/>
      <c r="I9" s="915"/>
      <c r="O9"/>
      <c r="P9"/>
      <c r="Q9"/>
      <c r="R9"/>
      <c r="S9"/>
      <c r="T9"/>
      <c r="U9"/>
    </row>
    <row r="10" spans="2:21" ht="21" customHeight="1">
      <c r="B10" s="248" t="s">
        <v>254</v>
      </c>
      <c r="C10" s="248"/>
      <c r="D10" s="248"/>
      <c r="E10" s="248"/>
      <c r="F10" s="248"/>
      <c r="G10" s="450"/>
      <c r="H10" s="1306" t="s">
        <v>627</v>
      </c>
      <c r="I10" s="1307"/>
      <c r="O10"/>
      <c r="P10"/>
      <c r="Q10"/>
      <c r="R10"/>
      <c r="S10"/>
      <c r="T10"/>
      <c r="U10"/>
    </row>
    <row r="11" spans="2:21" ht="21" customHeight="1" thickBot="1">
      <c r="B11" s="248" t="str">
        <f>'49a-Utility2'!B11</f>
        <v>Outstanding - December 31, 2024</v>
      </c>
      <c r="C11" s="248"/>
      <c r="D11" s="248"/>
      <c r="E11" s="248"/>
      <c r="F11" s="248"/>
      <c r="G11" s="758">
        <f>+H7+H8-G10</f>
        <v>0</v>
      </c>
      <c r="H11" s="1300" t="s">
        <v>627</v>
      </c>
      <c r="I11" s="1301"/>
      <c r="O11"/>
      <c r="P11"/>
      <c r="Q11"/>
      <c r="R11"/>
      <c r="S11"/>
      <c r="T11"/>
      <c r="U11"/>
    </row>
    <row r="12" spans="2:21" ht="21" customHeight="1" thickBot="1">
      <c r="G12" s="129">
        <f>SUM(G7:G11)</f>
        <v>0</v>
      </c>
      <c r="H12" s="1304">
        <f>SUM(H7:I11)</f>
        <v>0</v>
      </c>
      <c r="I12" s="1305"/>
      <c r="O12"/>
      <c r="P12"/>
      <c r="Q12"/>
      <c r="R12"/>
      <c r="S12"/>
      <c r="T12"/>
      <c r="U12"/>
    </row>
    <row r="13" spans="2:21" ht="21" customHeight="1" thickTop="1">
      <c r="B13" s="333" t="str">
        <f>'49a-Utility1'!B24</f>
        <v>2025 Loan Maturities</v>
      </c>
      <c r="C13" s="333"/>
      <c r="D13" s="333"/>
      <c r="E13" s="333"/>
      <c r="F13" s="333"/>
      <c r="G13" s="333"/>
      <c r="H13" s="333"/>
      <c r="I13" s="381"/>
      <c r="J13" s="333" t="s">
        <v>373</v>
      </c>
      <c r="K13" s="1311"/>
      <c r="L13" s="1311"/>
      <c r="O13"/>
      <c r="P13"/>
      <c r="Q13"/>
      <c r="R13"/>
      <c r="S13"/>
      <c r="T13"/>
      <c r="U13"/>
    </row>
    <row r="14" spans="2:21" ht="21" customHeight="1" thickBot="1">
      <c r="B14" s="311" t="str">
        <f>'49a-Utility1'!B25</f>
        <v>2025 Interest on Loans</v>
      </c>
      <c r="C14" s="311"/>
      <c r="D14" s="311"/>
      <c r="E14" s="311"/>
      <c r="F14" s="311"/>
      <c r="G14" s="380"/>
      <c r="H14" s="311" t="s">
        <v>373</v>
      </c>
      <c r="I14" s="519"/>
      <c r="O14"/>
      <c r="P14"/>
      <c r="Q14"/>
      <c r="R14"/>
      <c r="S14"/>
      <c r="T14"/>
      <c r="U14"/>
    </row>
    <row r="15" spans="2:21" ht="16.5" customHeight="1" thickTop="1" thickBot="1">
      <c r="B15" s="1402"/>
      <c r="C15" s="1402"/>
      <c r="D15" s="1402"/>
      <c r="E15" s="1402"/>
      <c r="F15" s="1402"/>
      <c r="G15" s="1402"/>
      <c r="H15" s="1402"/>
      <c r="I15" s="1403"/>
      <c r="O15"/>
      <c r="P15"/>
      <c r="Q15"/>
      <c r="R15"/>
      <c r="S15"/>
      <c r="T15"/>
      <c r="U15"/>
    </row>
    <row r="16" spans="2:21" ht="16.2" thickBot="1">
      <c r="B16" s="1420" t="str">
        <f>UPPER('KEY INPUTS'!D$56)&amp;" UTILITY "&amp;IF(R16&lt;&gt;"",(UPPER(R16)),"")&amp;" LOAN"</f>
        <v xml:space="preserve"> UTILITY  LOAN</v>
      </c>
      <c r="C16" s="1420"/>
      <c r="D16" s="1420"/>
      <c r="E16" s="1420"/>
      <c r="F16" s="1420"/>
      <c r="G16" s="1420"/>
      <c r="H16" s="1420"/>
      <c r="I16" s="1421"/>
      <c r="O16"/>
      <c r="P16"/>
      <c r="Q16" s="1056" t="s">
        <v>3576</v>
      </c>
      <c r="R16" s="1057"/>
      <c r="S16"/>
      <c r="T16"/>
      <c r="U16"/>
    </row>
    <row r="17" spans="2:21" ht="21" customHeight="1" thickTop="1">
      <c r="B17" s="363" t="str">
        <f>'49a-Utility2'!B7</f>
        <v>Outstanding - January 1, 2024</v>
      </c>
      <c r="C17" s="313"/>
      <c r="D17" s="313"/>
      <c r="E17" s="313"/>
      <c r="F17" s="313"/>
      <c r="G17" s="757" t="s">
        <v>627</v>
      </c>
      <c r="H17" s="1293"/>
      <c r="I17" s="1294"/>
      <c r="O17"/>
      <c r="P17"/>
      <c r="Q17"/>
      <c r="R17"/>
      <c r="S17"/>
      <c r="T17"/>
      <c r="U17"/>
    </row>
    <row r="18" spans="2:21" ht="21" customHeight="1">
      <c r="B18" s="248" t="s">
        <v>92</v>
      </c>
      <c r="C18" s="248"/>
      <c r="D18" s="248"/>
      <c r="E18" s="248"/>
      <c r="F18" s="248"/>
      <c r="G18" s="702" t="s">
        <v>627</v>
      </c>
      <c r="H18" s="1291"/>
      <c r="I18" s="1292"/>
      <c r="O18"/>
      <c r="P18"/>
      <c r="Q18"/>
      <c r="R18"/>
      <c r="S18"/>
      <c r="T18"/>
      <c r="U18"/>
    </row>
    <row r="19" spans="2:21" ht="21" customHeight="1">
      <c r="B19" s="248" t="s">
        <v>254</v>
      </c>
      <c r="C19" s="248"/>
      <c r="D19" s="248"/>
      <c r="E19" s="248"/>
      <c r="F19" s="248"/>
      <c r="G19" s="450"/>
      <c r="H19" s="1306" t="s">
        <v>627</v>
      </c>
      <c r="I19" s="1307"/>
      <c r="O19"/>
      <c r="P19"/>
      <c r="Q19"/>
      <c r="R19"/>
      <c r="S19"/>
      <c r="T19"/>
      <c r="U19"/>
    </row>
    <row r="20" spans="2:21" ht="21" customHeight="1">
      <c r="B20" s="248"/>
      <c r="C20" s="248"/>
      <c r="D20" s="248"/>
      <c r="E20" s="248"/>
      <c r="F20" s="248"/>
      <c r="G20" s="767"/>
      <c r="H20" s="1308"/>
      <c r="I20" s="1309"/>
      <c r="O20"/>
      <c r="P20"/>
      <c r="Q20"/>
      <c r="R20"/>
      <c r="S20"/>
      <c r="T20"/>
      <c r="U20"/>
    </row>
    <row r="21" spans="2:21" ht="21" customHeight="1">
      <c r="B21" s="248"/>
      <c r="C21" s="248"/>
      <c r="D21" s="248"/>
      <c r="E21" s="248"/>
      <c r="F21" s="248"/>
      <c r="G21" s="767"/>
      <c r="H21" s="1308"/>
      <c r="I21" s="1309"/>
      <c r="O21"/>
      <c r="P21"/>
      <c r="Q21"/>
      <c r="R21"/>
      <c r="S21"/>
      <c r="T21"/>
      <c r="U21"/>
    </row>
    <row r="22" spans="2:21" ht="21" customHeight="1" thickBot="1">
      <c r="B22" s="248" t="str">
        <f>'49a-Utility2'!B11</f>
        <v>Outstanding - December 31, 2024</v>
      </c>
      <c r="C22" s="248"/>
      <c r="D22" s="248"/>
      <c r="E22" s="248"/>
      <c r="F22" s="248"/>
      <c r="G22" s="758">
        <f>+H17+H18-G19-G20-G21+H20+H21</f>
        <v>0</v>
      </c>
      <c r="H22" s="1300" t="s">
        <v>627</v>
      </c>
      <c r="I22" s="1301"/>
      <c r="O22"/>
      <c r="P22"/>
      <c r="Q22"/>
      <c r="R22"/>
      <c r="S22"/>
      <c r="T22"/>
      <c r="U22"/>
    </row>
    <row r="23" spans="2:21" ht="21" customHeight="1" thickBot="1">
      <c r="G23" s="755">
        <f>SUM(G17:G22)</f>
        <v>0</v>
      </c>
      <c r="H23" s="1304">
        <f>SUM(H17:I22)</f>
        <v>0</v>
      </c>
      <c r="I23" s="1305"/>
    </row>
    <row r="24" spans="2:21" ht="21" customHeight="1" thickTop="1">
      <c r="B24" s="333" t="str">
        <f>B13</f>
        <v>2025 Loan Maturities</v>
      </c>
      <c r="C24" s="333"/>
      <c r="D24" s="333"/>
      <c r="E24" s="333"/>
      <c r="F24" s="333"/>
      <c r="G24" s="333"/>
      <c r="H24" s="333"/>
      <c r="I24" s="381"/>
      <c r="J24" s="333" t="s">
        <v>373</v>
      </c>
      <c r="K24" s="1311"/>
      <c r="L24" s="1311"/>
    </row>
    <row r="25" spans="2:21" ht="21" customHeight="1" thickBot="1">
      <c r="B25" s="311" t="str">
        <f>B14</f>
        <v>2025 Interest on Loans</v>
      </c>
      <c r="C25" s="311"/>
      <c r="D25" s="311"/>
      <c r="E25" s="311"/>
      <c r="F25" s="311"/>
      <c r="G25" s="380"/>
      <c r="H25" s="311" t="s">
        <v>373</v>
      </c>
      <c r="I25" s="456"/>
      <c r="J25" s="375"/>
      <c r="K25" s="311"/>
      <c r="L25" s="311"/>
    </row>
    <row r="26" spans="2:21" ht="21" customHeight="1" thickTop="1"/>
    <row r="27" spans="2:21" ht="19.5" customHeight="1" thickBot="1">
      <c r="B27" s="1420" t="str">
        <f>"INTEREST  ON  LOANS  - "&amp;UPPER('KEY INPUTS'!D56)&amp;"  UTILITY  BUDGET"</f>
        <v>INTEREST  ON  LOANS  -   UTILITY  BUDGET</v>
      </c>
      <c r="C27" s="1420"/>
      <c r="D27" s="1420"/>
      <c r="E27" s="1420"/>
      <c r="F27" s="1420"/>
      <c r="G27" s="1420"/>
      <c r="H27" s="1420"/>
      <c r="I27" s="1420"/>
      <c r="J27" s="1420"/>
      <c r="K27" s="1420"/>
      <c r="L27" s="1420"/>
    </row>
    <row r="28" spans="2:21" ht="21" customHeight="1" thickTop="1">
      <c r="B28" s="313" t="str">
        <f>'49a-Utility1'!B28</f>
        <v>2025 Interest on Loans (*Items)</v>
      </c>
      <c r="C28" s="313"/>
      <c r="D28" s="313"/>
      <c r="E28" s="313"/>
      <c r="F28" s="313"/>
      <c r="G28" s="313"/>
      <c r="H28" s="313" t="s">
        <v>373</v>
      </c>
      <c r="I28" s="384">
        <f>+I25+I14</f>
        <v>0</v>
      </c>
    </row>
    <row r="29" spans="2:21" ht="21" customHeight="1">
      <c r="B29" s="248" t="str">
        <f>'49a-Utility1'!B29</f>
        <v>Less: Interest Accrued to 12/31/2024 (Trial Balance)</v>
      </c>
      <c r="C29" s="248"/>
      <c r="D29" s="248"/>
      <c r="E29" s="248"/>
      <c r="F29" s="248"/>
      <c r="G29" s="248"/>
      <c r="H29" s="248" t="s">
        <v>373</v>
      </c>
      <c r="I29" s="449"/>
    </row>
    <row r="30" spans="2:21" ht="21" customHeight="1">
      <c r="B30" s="248"/>
      <c r="C30" s="248" t="s">
        <v>317</v>
      </c>
      <c r="D30" s="248"/>
      <c r="E30" s="248"/>
      <c r="F30" s="248"/>
      <c r="G30" s="248"/>
      <c r="H30" s="248" t="s">
        <v>373</v>
      </c>
      <c r="I30" s="379">
        <f>+I28-I29</f>
        <v>0</v>
      </c>
    </row>
    <row r="31" spans="2:21" ht="21" customHeight="1">
      <c r="B31" s="248" t="str">
        <f>'49a-Utility1'!B31</f>
        <v>Add: Interest to be Accrued as of 12/31/2025</v>
      </c>
      <c r="C31" s="248"/>
      <c r="D31" s="248"/>
      <c r="E31" s="248"/>
      <c r="F31" s="248"/>
      <c r="G31" s="248"/>
      <c r="H31" s="248" t="s">
        <v>373</v>
      </c>
      <c r="I31" s="449"/>
    </row>
    <row r="32" spans="2:21" ht="21" customHeight="1">
      <c r="B32" s="248" t="str">
        <f>'49a-Utility1'!B32</f>
        <v>Required Appropriation 2025</v>
      </c>
      <c r="C32" s="248"/>
      <c r="D32" s="248"/>
      <c r="E32" s="248"/>
      <c r="F32" s="248"/>
      <c r="G32" s="248"/>
      <c r="H32" s="248"/>
      <c r="I32" s="312"/>
      <c r="J32" s="376" t="s">
        <v>373</v>
      </c>
      <c r="K32" s="1414">
        <f>+I30+I31</f>
        <v>0</v>
      </c>
      <c r="L32" s="1415"/>
    </row>
    <row r="33" spans="2:12" ht="13.5" customHeight="1">
      <c r="K33" s="378"/>
      <c r="L33" s="302"/>
    </row>
    <row r="34" spans="2:12" ht="13.5" customHeight="1">
      <c r="K34" s="378"/>
      <c r="L34" s="302"/>
    </row>
    <row r="35" spans="2:12" ht="21" customHeight="1" thickBot="1">
      <c r="B35" s="1404" t="str">
        <f>'49-Utility1'!B35</f>
        <v>LIST  OF  BONDS  ISSUED  DURING  2024</v>
      </c>
      <c r="C35" s="1404"/>
      <c r="D35" s="1404"/>
      <c r="E35" s="1404"/>
      <c r="F35" s="1404"/>
      <c r="G35" s="1404"/>
      <c r="H35" s="1404"/>
      <c r="I35" s="1404"/>
      <c r="J35" s="1404"/>
      <c r="K35" s="1404"/>
      <c r="L35" s="1404"/>
    </row>
    <row r="36" spans="2:12" ht="27" customHeight="1" thickTop="1" thickBot="1">
      <c r="B36" s="1350" t="s">
        <v>413</v>
      </c>
      <c r="C36" s="1350"/>
      <c r="D36" s="1350"/>
      <c r="E36" s="1350"/>
      <c r="F36" s="1350"/>
      <c r="G36" s="304" t="str">
        <f>'49a-Utility2'!G36</f>
        <v>2025 Maturity</v>
      </c>
      <c r="H36" s="1401" t="s">
        <v>91</v>
      </c>
      <c r="I36" s="1351"/>
      <c r="J36" s="1399" t="s">
        <v>89</v>
      </c>
      <c r="K36" s="1400"/>
      <c r="L36" s="377" t="s">
        <v>90</v>
      </c>
    </row>
    <row r="37" spans="2:12" ht="21" customHeight="1" thickTop="1">
      <c r="B37" s="518"/>
      <c r="C37" s="518"/>
      <c r="D37" s="518"/>
      <c r="E37" s="518"/>
      <c r="F37" s="518"/>
      <c r="G37" s="454"/>
      <c r="H37" s="1293"/>
      <c r="I37" s="1294"/>
      <c r="J37" s="1422"/>
      <c r="K37" s="1417"/>
      <c r="L37" s="669"/>
    </row>
    <row r="38" spans="2:12" ht="21" customHeight="1">
      <c r="B38" s="495"/>
      <c r="C38" s="495"/>
      <c r="D38" s="495"/>
      <c r="E38" s="495"/>
      <c r="F38" s="495"/>
      <c r="G38" s="450"/>
      <c r="H38" s="1291"/>
      <c r="I38" s="1292"/>
      <c r="J38" s="1397"/>
      <c r="K38" s="1398"/>
      <c r="L38" s="670"/>
    </row>
    <row r="39" spans="2:12" ht="21" customHeight="1">
      <c r="B39" s="495"/>
      <c r="C39" s="495"/>
      <c r="D39" s="495"/>
      <c r="E39" s="495"/>
      <c r="F39" s="495"/>
      <c r="G39" s="450"/>
      <c r="H39" s="1291"/>
      <c r="I39" s="1292"/>
      <c r="J39" s="1397"/>
      <c r="K39" s="1398"/>
      <c r="L39" s="670"/>
    </row>
    <row r="40" spans="2:12" ht="21" customHeight="1">
      <c r="B40" s="495"/>
      <c r="C40" s="495"/>
      <c r="D40" s="495"/>
      <c r="E40" s="495"/>
      <c r="F40" s="495"/>
      <c r="G40" s="450"/>
      <c r="H40" s="1291"/>
      <c r="I40" s="1292"/>
      <c r="J40" s="1397"/>
      <c r="K40" s="1398"/>
      <c r="L40" s="670"/>
    </row>
    <row r="41" spans="2:12" ht="21" customHeight="1" thickBot="1">
      <c r="B41" s="311"/>
      <c r="C41" s="311"/>
      <c r="D41" s="311"/>
      <c r="E41" s="311"/>
      <c r="F41" s="310"/>
      <c r="G41" s="755">
        <f>SUM(G37:G40)</f>
        <v>0</v>
      </c>
      <c r="H41" s="1289">
        <f>SUM(H37:I40)</f>
        <v>0</v>
      </c>
      <c r="I41" s="1290"/>
      <c r="J41" s="375"/>
      <c r="K41" s="311"/>
      <c r="L41" s="315"/>
    </row>
    <row r="42" spans="2:12" ht="13.8" thickTop="1">
      <c r="G42" s="347"/>
      <c r="H42" s="347"/>
      <c r="I42" s="347"/>
    </row>
    <row r="51" spans="2:12" ht="13.8">
      <c r="B51" s="1353" t="s">
        <v>3166</v>
      </c>
      <c r="C51" s="1353"/>
      <c r="D51" s="1353"/>
      <c r="E51" s="1353"/>
      <c r="F51" s="1353"/>
      <c r="G51" s="1353"/>
      <c r="H51" s="1353"/>
      <c r="I51" s="1353"/>
      <c r="J51" s="1353"/>
      <c r="K51" s="1353"/>
      <c r="L51" s="1353"/>
    </row>
  </sheetData>
  <sheetProtection algorithmName="SHA-512" hashValue="nscktTS4S3nMZovn6vxU8cSirT1fF9BaauA6QQGoRRFy13s6m1Z/BwIo/UPn0+jx2ioZWynBKn8W0ZEGll5/Pw==" saltValue="V/Xa+besX0Jeh7byTXMS9w=="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1:L51"/>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1BDE8-636D-4B7F-9FA4-7A78261DB2CA}">
  <sheetPr codeName="Sheet22"/>
  <dimension ref="B2:O52"/>
  <sheetViews>
    <sheetView zoomScaleNormal="100" workbookViewId="0">
      <selection activeCell="I20" sqref="I20"/>
    </sheetView>
  </sheetViews>
  <sheetFormatPr defaultColWidth="9.109375" defaultRowHeight="13.2"/>
  <cols>
    <col min="1" max="3" width="4.6640625" customWidth="1"/>
    <col min="5" max="5" width="11.88671875" customWidth="1"/>
    <col min="6" max="6" width="1.6640625" customWidth="1"/>
    <col min="7" max="7" width="14.6640625" customWidth="1"/>
    <col min="8" max="8" width="1.6640625" customWidth="1"/>
    <col min="9" max="9" width="14.6640625" customWidth="1"/>
    <col min="10" max="10" width="1.6640625" customWidth="1"/>
    <col min="11" max="11" width="14.6640625" customWidth="1"/>
    <col min="12" max="12" width="1.6640625" customWidth="1"/>
    <col min="13" max="13" width="14.6640625" customWidth="1"/>
    <col min="14" max="14" width="10.88671875" bestFit="1" customWidth="1"/>
  </cols>
  <sheetData>
    <row r="2" spans="2:15" ht="20.399999999999999">
      <c r="B2" s="1131" t="s">
        <v>3349</v>
      </c>
      <c r="C2" s="1131"/>
      <c r="D2" s="1131"/>
      <c r="E2" s="1131"/>
      <c r="F2" s="1131"/>
      <c r="G2" s="1131"/>
      <c r="H2" s="1131"/>
      <c r="I2" s="1131"/>
      <c r="J2" s="1131"/>
      <c r="K2" s="1131"/>
      <c r="L2" s="1131"/>
      <c r="M2" s="1131"/>
    </row>
    <row r="3" spans="2:15">
      <c r="B3" s="1158"/>
      <c r="C3" s="1158"/>
      <c r="D3" s="1158"/>
      <c r="E3" s="1158"/>
      <c r="F3" s="1158"/>
      <c r="G3" s="1158"/>
      <c r="H3" s="1158"/>
      <c r="I3" s="1158"/>
      <c r="J3" s="1158"/>
      <c r="K3" s="1158"/>
      <c r="L3" s="1158"/>
      <c r="M3" s="1158"/>
    </row>
    <row r="5" spans="2:15">
      <c r="B5" s="1190"/>
      <c r="C5" s="1190"/>
      <c r="D5" s="1190"/>
      <c r="G5" s="1" t="s">
        <v>414</v>
      </c>
      <c r="I5" s="124"/>
      <c r="K5" s="124"/>
    </row>
    <row r="6" spans="2:15">
      <c r="B6" s="1190"/>
      <c r="C6" s="1190"/>
      <c r="D6" s="1190"/>
      <c r="G6" s="243" t="str">
        <f>'6b-Trust Fund Reserves'!G6</f>
        <v>Dec. 31, 2023</v>
      </c>
      <c r="I6" s="1"/>
      <c r="K6" s="1"/>
      <c r="M6" s="1" t="s">
        <v>529</v>
      </c>
    </row>
    <row r="7" spans="2:15">
      <c r="G7" s="1" t="s">
        <v>433</v>
      </c>
      <c r="I7" s="1"/>
      <c r="K7" s="1"/>
      <c r="M7" s="1" t="s">
        <v>437</v>
      </c>
    </row>
    <row r="8" spans="2:15">
      <c r="B8" s="1190" t="s">
        <v>413</v>
      </c>
      <c r="C8" s="1190"/>
      <c r="D8" s="1190"/>
      <c r="G8" s="124" t="s">
        <v>432</v>
      </c>
      <c r="I8" s="124" t="s">
        <v>427</v>
      </c>
      <c r="K8" s="124" t="s">
        <v>535</v>
      </c>
      <c r="M8" s="241" t="str">
        <f>'6b-Trust Fund Reserves'!M8</f>
        <v>Dec. 31, 2024</v>
      </c>
    </row>
    <row r="9" spans="2:15">
      <c r="B9" s="124"/>
      <c r="C9" s="124"/>
      <c r="D9" s="124"/>
      <c r="G9" s="124"/>
      <c r="I9" s="124"/>
      <c r="K9" s="124"/>
      <c r="M9" s="124"/>
    </row>
    <row r="10" spans="2:15" ht="21" customHeight="1">
      <c r="B10" s="590" t="s">
        <v>3256</v>
      </c>
      <c r="C10" s="30"/>
      <c r="D10" s="30"/>
      <c r="E10" s="30"/>
      <c r="G10" s="638">
        <f>+'6b-Trust Fund Reserves'!G48</f>
        <v>245057.19999999998</v>
      </c>
      <c r="I10" s="638">
        <f>+'6b-Trust Fund Reserves'!I48</f>
        <v>933468.92</v>
      </c>
      <c r="K10" s="638">
        <f>+'6b-Trust Fund Reserves'!K48</f>
        <v>849468.8</v>
      </c>
      <c r="M10" s="637">
        <f>+'6b-Trust Fund Reserves'!M48</f>
        <v>329057.32</v>
      </c>
      <c r="N10" s="204"/>
    </row>
    <row r="11" spans="2:15" ht="21" customHeight="1">
      <c r="B11" s="292"/>
      <c r="C11" s="292"/>
      <c r="D11" s="292"/>
      <c r="E11" s="292"/>
      <c r="G11" s="293"/>
      <c r="I11" s="293"/>
      <c r="K11" s="293"/>
      <c r="L11" s="295"/>
      <c r="M11" s="637">
        <f t="shared" ref="M11:M47" si="0">+G11+I11-K11</f>
        <v>0</v>
      </c>
      <c r="N11" s="204"/>
    </row>
    <row r="12" spans="2:15" ht="21" customHeight="1">
      <c r="B12" s="292"/>
      <c r="C12" s="292"/>
      <c r="D12" s="292"/>
      <c r="E12" s="292"/>
      <c r="G12" s="293"/>
      <c r="I12" s="293"/>
      <c r="K12" s="293"/>
      <c r="L12" s="295"/>
      <c r="M12" s="637">
        <f t="shared" si="0"/>
        <v>0</v>
      </c>
      <c r="N12" s="204"/>
    </row>
    <row r="13" spans="2:15" ht="21" customHeight="1">
      <c r="B13" s="292"/>
      <c r="C13" s="292"/>
      <c r="D13" s="292"/>
      <c r="E13" s="292"/>
      <c r="G13" s="293"/>
      <c r="I13" s="511"/>
      <c r="K13" s="293"/>
      <c r="L13" s="295"/>
      <c r="M13" s="637">
        <f t="shared" si="0"/>
        <v>0</v>
      </c>
      <c r="N13" s="204"/>
      <c r="O13" s="294"/>
    </row>
    <row r="14" spans="2:15" ht="21" customHeight="1">
      <c r="B14" s="512"/>
      <c r="C14" s="292"/>
      <c r="D14" s="292"/>
      <c r="E14" s="292"/>
      <c r="G14" s="293"/>
      <c r="I14" s="293"/>
      <c r="K14" s="293"/>
      <c r="L14" s="295"/>
      <c r="M14" s="637">
        <f t="shared" si="0"/>
        <v>0</v>
      </c>
      <c r="N14" s="204"/>
    </row>
    <row r="15" spans="2:15" ht="21" customHeight="1">
      <c r="B15" s="292"/>
      <c r="C15" s="292"/>
      <c r="D15" s="292"/>
      <c r="E15" s="292"/>
      <c r="G15" s="293"/>
      <c r="I15" s="293"/>
      <c r="K15" s="293"/>
      <c r="L15" s="295"/>
      <c r="M15" s="637">
        <f t="shared" si="0"/>
        <v>0</v>
      </c>
      <c r="N15" s="204"/>
    </row>
    <row r="16" spans="2:15" ht="21" customHeight="1">
      <c r="B16" s="292"/>
      <c r="C16" s="292"/>
      <c r="D16" s="292"/>
      <c r="E16" s="292"/>
      <c r="G16" s="293"/>
      <c r="I16" s="293"/>
      <c r="K16" s="293"/>
      <c r="L16" s="295"/>
      <c r="M16" s="637">
        <f t="shared" si="0"/>
        <v>0</v>
      </c>
      <c r="N16" s="204"/>
    </row>
    <row r="17" spans="2:14" ht="21" customHeight="1">
      <c r="B17" s="292"/>
      <c r="C17" s="292"/>
      <c r="D17" s="292"/>
      <c r="E17" s="292"/>
      <c r="G17" s="293"/>
      <c r="I17" s="293"/>
      <c r="K17" s="293"/>
      <c r="L17" s="295"/>
      <c r="M17" s="637">
        <f t="shared" si="0"/>
        <v>0</v>
      </c>
      <c r="N17" s="204"/>
    </row>
    <row r="18" spans="2:14" ht="21" customHeight="1">
      <c r="B18" s="292"/>
      <c r="C18" s="292"/>
      <c r="D18" s="292"/>
      <c r="E18" s="292"/>
      <c r="G18" s="293"/>
      <c r="I18" s="293"/>
      <c r="K18" s="293"/>
      <c r="L18" s="295"/>
      <c r="M18" s="637">
        <f t="shared" si="0"/>
        <v>0</v>
      </c>
      <c r="N18" s="204"/>
    </row>
    <row r="19" spans="2:14" ht="21" customHeight="1">
      <c r="B19" s="512"/>
      <c r="C19" s="292"/>
      <c r="D19" s="292"/>
      <c r="E19" s="292"/>
      <c r="G19" s="293"/>
      <c r="I19" s="293"/>
      <c r="K19" s="293"/>
      <c r="L19" s="295"/>
      <c r="M19" s="637">
        <f t="shared" si="0"/>
        <v>0</v>
      </c>
      <c r="N19" s="204"/>
    </row>
    <row r="20" spans="2:14" ht="21" customHeight="1">
      <c r="B20" s="512"/>
      <c r="C20" s="292"/>
      <c r="D20" s="292"/>
      <c r="E20" s="292"/>
      <c r="G20" s="293"/>
      <c r="I20" s="293"/>
      <c r="K20" s="293"/>
      <c r="L20" s="295"/>
      <c r="M20" s="637">
        <f t="shared" si="0"/>
        <v>0</v>
      </c>
      <c r="N20" s="204"/>
    </row>
    <row r="21" spans="2:14" ht="21" customHeight="1">
      <c r="B21" s="512"/>
      <c r="C21" s="292"/>
      <c r="D21" s="292"/>
      <c r="E21" s="292"/>
      <c r="G21" s="293"/>
      <c r="I21" s="293"/>
      <c r="K21" s="293"/>
      <c r="L21" s="295"/>
      <c r="M21" s="637">
        <f t="shared" si="0"/>
        <v>0</v>
      </c>
      <c r="N21" s="204"/>
    </row>
    <row r="22" spans="2:14" ht="21" customHeight="1">
      <c r="B22" s="512"/>
      <c r="C22" s="292"/>
      <c r="D22" s="292"/>
      <c r="E22" s="292"/>
      <c r="G22" s="293"/>
      <c r="I22" s="293"/>
      <c r="K22" s="293"/>
      <c r="L22" s="295"/>
      <c r="M22" s="637">
        <f t="shared" si="0"/>
        <v>0</v>
      </c>
      <c r="N22" s="204"/>
    </row>
    <row r="23" spans="2:14" ht="21" customHeight="1">
      <c r="B23" s="512"/>
      <c r="C23" s="292"/>
      <c r="D23" s="292"/>
      <c r="E23" s="292"/>
      <c r="G23" s="293"/>
      <c r="I23" s="293"/>
      <c r="K23" s="293"/>
      <c r="L23" s="295"/>
      <c r="M23" s="637">
        <f t="shared" si="0"/>
        <v>0</v>
      </c>
      <c r="N23" s="204"/>
    </row>
    <row r="24" spans="2:14" ht="21" customHeight="1">
      <c r="B24" s="512"/>
      <c r="C24" s="292"/>
      <c r="D24" s="292"/>
      <c r="E24" s="292"/>
      <c r="G24" s="293"/>
      <c r="I24" s="293"/>
      <c r="K24" s="293"/>
      <c r="L24" s="295"/>
      <c r="M24" s="637">
        <f t="shared" si="0"/>
        <v>0</v>
      </c>
      <c r="N24" s="204"/>
    </row>
    <row r="25" spans="2:14" ht="21" customHeight="1">
      <c r="B25" s="292"/>
      <c r="C25" s="292"/>
      <c r="D25" s="292"/>
      <c r="E25" s="292"/>
      <c r="G25" s="293"/>
      <c r="I25" s="293"/>
      <c r="K25" s="293"/>
      <c r="L25" s="295"/>
      <c r="M25" s="637">
        <f t="shared" si="0"/>
        <v>0</v>
      </c>
      <c r="N25" s="204"/>
    </row>
    <row r="26" spans="2:14" ht="21" customHeight="1">
      <c r="B26" s="292"/>
      <c r="C26" s="292"/>
      <c r="D26" s="292"/>
      <c r="E26" s="292"/>
      <c r="G26" s="293"/>
      <c r="I26" s="293"/>
      <c r="K26" s="293"/>
      <c r="L26" s="295"/>
      <c r="M26" s="637">
        <f t="shared" si="0"/>
        <v>0</v>
      </c>
    </row>
    <row r="27" spans="2:14" ht="21" customHeight="1">
      <c r="B27" s="292"/>
      <c r="C27" s="292"/>
      <c r="D27" s="292"/>
      <c r="E27" s="292"/>
      <c r="G27" s="293"/>
      <c r="I27" s="293"/>
      <c r="K27" s="293"/>
      <c r="L27" s="295"/>
      <c r="M27" s="637">
        <f t="shared" si="0"/>
        <v>0</v>
      </c>
    </row>
    <row r="28" spans="2:14" ht="21" customHeight="1">
      <c r="B28" s="292"/>
      <c r="C28" s="292"/>
      <c r="D28" s="292"/>
      <c r="E28" s="292"/>
      <c r="G28" s="293"/>
      <c r="I28" s="293"/>
      <c r="K28" s="293"/>
      <c r="L28" s="295"/>
      <c r="M28" s="637">
        <f t="shared" si="0"/>
        <v>0</v>
      </c>
    </row>
    <row r="29" spans="2:14" ht="21" customHeight="1">
      <c r="B29" s="292"/>
      <c r="C29" s="292"/>
      <c r="D29" s="292"/>
      <c r="E29" s="292"/>
      <c r="G29" s="293"/>
      <c r="I29" s="293"/>
      <c r="K29" s="293"/>
      <c r="L29" s="295"/>
      <c r="M29" s="637">
        <f t="shared" si="0"/>
        <v>0</v>
      </c>
    </row>
    <row r="30" spans="2:14" ht="21" customHeight="1">
      <c r="B30" s="292"/>
      <c r="C30" s="292"/>
      <c r="D30" s="292"/>
      <c r="E30" s="292"/>
      <c r="G30" s="293"/>
      <c r="I30" s="293"/>
      <c r="K30" s="293"/>
      <c r="L30" s="295"/>
      <c r="M30" s="637">
        <f t="shared" si="0"/>
        <v>0</v>
      </c>
    </row>
    <row r="31" spans="2:14" ht="21" customHeight="1">
      <c r="B31" s="292"/>
      <c r="C31" s="292"/>
      <c r="D31" s="292"/>
      <c r="E31" s="292"/>
      <c r="G31" s="293"/>
      <c r="I31" s="293"/>
      <c r="K31" s="293"/>
      <c r="L31" s="295"/>
      <c r="M31" s="637">
        <f t="shared" si="0"/>
        <v>0</v>
      </c>
    </row>
    <row r="32" spans="2:14" ht="21" customHeight="1">
      <c r="B32" s="292"/>
      <c r="C32" s="292"/>
      <c r="D32" s="292"/>
      <c r="E32" s="292"/>
      <c r="G32" s="293"/>
      <c r="I32" s="293"/>
      <c r="K32" s="293"/>
      <c r="L32" s="295"/>
      <c r="M32" s="637">
        <f t="shared" si="0"/>
        <v>0</v>
      </c>
    </row>
    <row r="33" spans="2:13" ht="21" customHeight="1">
      <c r="B33" s="292"/>
      <c r="C33" s="292"/>
      <c r="D33" s="292"/>
      <c r="E33" s="292"/>
      <c r="G33" s="293"/>
      <c r="I33" s="293"/>
      <c r="K33" s="293"/>
      <c r="L33" s="295"/>
      <c r="M33" s="637">
        <f t="shared" si="0"/>
        <v>0</v>
      </c>
    </row>
    <row r="34" spans="2:13" ht="21" customHeight="1">
      <c r="B34" s="292"/>
      <c r="C34" s="292"/>
      <c r="D34" s="292"/>
      <c r="E34" s="292"/>
      <c r="G34" s="293"/>
      <c r="I34" s="293"/>
      <c r="K34" s="293"/>
      <c r="L34" s="295"/>
      <c r="M34" s="637">
        <f t="shared" si="0"/>
        <v>0</v>
      </c>
    </row>
    <row r="35" spans="2:13" ht="21" customHeight="1">
      <c r="B35" s="292"/>
      <c r="C35" s="292"/>
      <c r="D35" s="292"/>
      <c r="E35" s="292"/>
      <c r="G35" s="293"/>
      <c r="I35" s="293"/>
      <c r="K35" s="293"/>
      <c r="L35" s="295"/>
      <c r="M35" s="637">
        <f t="shared" si="0"/>
        <v>0</v>
      </c>
    </row>
    <row r="36" spans="2:13" ht="21" customHeight="1">
      <c r="B36" s="292"/>
      <c r="C36" s="292"/>
      <c r="D36" s="292"/>
      <c r="E36" s="292"/>
      <c r="G36" s="293"/>
      <c r="I36" s="293"/>
      <c r="K36" s="293"/>
      <c r="L36" s="295"/>
      <c r="M36" s="637">
        <f t="shared" si="0"/>
        <v>0</v>
      </c>
    </row>
    <row r="37" spans="2:13" ht="21" customHeight="1">
      <c r="B37" s="292"/>
      <c r="C37" s="292"/>
      <c r="D37" s="292"/>
      <c r="E37" s="292"/>
      <c r="G37" s="293"/>
      <c r="I37" s="293"/>
      <c r="K37" s="293"/>
      <c r="L37" s="295"/>
      <c r="M37" s="637">
        <f t="shared" si="0"/>
        <v>0</v>
      </c>
    </row>
    <row r="38" spans="2:13" ht="21" customHeight="1">
      <c r="B38" s="292"/>
      <c r="C38" s="292"/>
      <c r="D38" s="292"/>
      <c r="E38" s="292"/>
      <c r="G38" s="293"/>
      <c r="I38" s="293"/>
      <c r="K38" s="293"/>
      <c r="L38" s="295"/>
      <c r="M38" s="637">
        <f t="shared" si="0"/>
        <v>0</v>
      </c>
    </row>
    <row r="39" spans="2:13" ht="21" customHeight="1">
      <c r="B39" s="292"/>
      <c r="C39" s="292"/>
      <c r="D39" s="292"/>
      <c r="E39" s="292"/>
      <c r="G39" s="293"/>
      <c r="I39" s="293"/>
      <c r="K39" s="293"/>
      <c r="L39" s="295"/>
      <c r="M39" s="637">
        <f t="shared" si="0"/>
        <v>0</v>
      </c>
    </row>
    <row r="40" spans="2:13" ht="21" customHeight="1">
      <c r="B40" s="292"/>
      <c r="C40" s="292"/>
      <c r="D40" s="292"/>
      <c r="E40" s="292"/>
      <c r="G40" s="293"/>
      <c r="I40" s="293"/>
      <c r="K40" s="293"/>
      <c r="L40" s="295"/>
      <c r="M40" s="637">
        <f t="shared" si="0"/>
        <v>0</v>
      </c>
    </row>
    <row r="41" spans="2:13" ht="21" customHeight="1">
      <c r="B41" s="292"/>
      <c r="C41" s="292"/>
      <c r="D41" s="292"/>
      <c r="E41" s="292"/>
      <c r="G41" s="293"/>
      <c r="I41" s="293"/>
      <c r="K41" s="293"/>
      <c r="L41" s="295"/>
      <c r="M41" s="637">
        <f t="shared" si="0"/>
        <v>0</v>
      </c>
    </row>
    <row r="42" spans="2:13" ht="21" customHeight="1">
      <c r="B42" s="292"/>
      <c r="C42" s="292"/>
      <c r="D42" s="292"/>
      <c r="E42" s="292"/>
      <c r="G42" s="293"/>
      <c r="I42" s="293"/>
      <c r="K42" s="293"/>
      <c r="L42" s="295"/>
      <c r="M42" s="637">
        <f t="shared" si="0"/>
        <v>0</v>
      </c>
    </row>
    <row r="43" spans="2:13" ht="21" customHeight="1">
      <c r="B43" s="292"/>
      <c r="C43" s="292"/>
      <c r="D43" s="292"/>
      <c r="E43" s="292"/>
      <c r="G43" s="293"/>
      <c r="I43" s="293"/>
      <c r="K43" s="293"/>
      <c r="L43" s="295"/>
      <c r="M43" s="637">
        <f t="shared" si="0"/>
        <v>0</v>
      </c>
    </row>
    <row r="44" spans="2:13" ht="21" customHeight="1">
      <c r="B44" s="292"/>
      <c r="C44" s="292"/>
      <c r="D44" s="292"/>
      <c r="E44" s="292"/>
      <c r="G44" s="293"/>
      <c r="I44" s="293"/>
      <c r="K44" s="293"/>
      <c r="L44" s="295"/>
      <c r="M44" s="637">
        <f t="shared" si="0"/>
        <v>0</v>
      </c>
    </row>
    <row r="45" spans="2:13" ht="21" customHeight="1">
      <c r="B45" s="292"/>
      <c r="C45" s="292"/>
      <c r="D45" s="292"/>
      <c r="E45" s="292"/>
      <c r="G45" s="293"/>
      <c r="I45" s="293"/>
      <c r="K45" s="293"/>
      <c r="L45" s="295"/>
      <c r="M45" s="637">
        <f t="shared" si="0"/>
        <v>0</v>
      </c>
    </row>
    <row r="46" spans="2:13" ht="21" customHeight="1">
      <c r="B46" s="292"/>
      <c r="C46" s="292"/>
      <c r="D46" s="292"/>
      <c r="E46" s="292"/>
      <c r="G46" s="293"/>
      <c r="I46" s="293"/>
      <c r="K46" s="293"/>
      <c r="L46" s="295"/>
      <c r="M46" s="637">
        <f t="shared" si="0"/>
        <v>0</v>
      </c>
    </row>
    <row r="47" spans="2:13" ht="21" customHeight="1">
      <c r="B47" s="292"/>
      <c r="C47" s="292"/>
      <c r="D47" s="292"/>
      <c r="E47" s="292"/>
      <c r="G47" s="293"/>
      <c r="I47" s="293"/>
      <c r="K47" s="293"/>
      <c r="L47" s="295"/>
      <c r="M47" s="637">
        <f t="shared" si="0"/>
        <v>0</v>
      </c>
    </row>
    <row r="48" spans="2:13" ht="21" customHeight="1">
      <c r="D48" s="112" t="s">
        <v>3255</v>
      </c>
      <c r="F48" t="s">
        <v>373</v>
      </c>
      <c r="G48" s="149">
        <f>SUM(G10:G47)</f>
        <v>245057.19999999998</v>
      </c>
      <c r="H48" t="s">
        <v>373</v>
      </c>
      <c r="I48" s="149">
        <f>SUM(I10:I47)</f>
        <v>933468.92</v>
      </c>
      <c r="J48" t="s">
        <v>373</v>
      </c>
      <c r="K48" s="149">
        <f>SUM(K10:K47)</f>
        <v>849468.8</v>
      </c>
      <c r="L48" t="s">
        <v>373</v>
      </c>
      <c r="M48" s="637">
        <f>SUM(M10:M47)</f>
        <v>329057.32</v>
      </c>
    </row>
    <row r="50" spans="2:13" ht="13.8">
      <c r="B50" s="1191" t="s">
        <v>3253</v>
      </c>
      <c r="C50" s="1191"/>
      <c r="D50" s="1191"/>
      <c r="E50" s="1191"/>
      <c r="F50" s="1191"/>
      <c r="G50" s="1191"/>
      <c r="H50" s="1191"/>
      <c r="I50" s="1191"/>
      <c r="J50" s="1191"/>
      <c r="K50" s="1191"/>
      <c r="L50" s="1191"/>
      <c r="M50" s="1191"/>
    </row>
    <row r="52" spans="2:13">
      <c r="G52" s="204"/>
      <c r="M52" s="204"/>
    </row>
  </sheetData>
  <sheetProtection algorithmName="SHA-512" hashValue="4wrp/xft63svm73YTEfvplfYxXstl1C8lfqX0YajsUe3Zhm5VEn+KZzp67w9uTmYrebH6u+O3/HYB/3s6cK2eg==" saltValue="HJXBi0qkq0YosLCMj5ybag=="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3101B-4A87-43C7-92BD-7B749C4F54FD}">
  <sheetPr codeName="Sheet213">
    <tabColor theme="5" tint="0.59999389629810485"/>
  </sheetPr>
  <dimension ref="B2:U51"/>
  <sheetViews>
    <sheetView topLeftCell="A16" zoomScaleNormal="100" zoomScaleSheetLayoutView="80" workbookViewId="0">
      <selection activeCell="G37" sqref="G37"/>
    </sheetView>
  </sheetViews>
  <sheetFormatPr defaultColWidth="9.109375" defaultRowHeight="13.2"/>
  <cols>
    <col min="1" max="3" width="4.6640625" style="267" customWidth="1"/>
    <col min="4" max="4" width="4.5546875" style="267" customWidth="1"/>
    <col min="5" max="5" width="17.88671875" style="267" customWidth="1"/>
    <col min="6" max="6" width="9.109375" style="267"/>
    <col min="7" max="7" width="16.6640625" style="267" customWidth="1"/>
    <col min="8" max="8" width="1.6640625" style="267" customWidth="1"/>
    <col min="9" max="9" width="15.6640625" style="267" customWidth="1"/>
    <col min="10" max="10" width="1.6640625" style="267" customWidth="1"/>
    <col min="11" max="11" width="8.6640625" style="267" customWidth="1"/>
    <col min="12" max="12" width="7.6640625" style="267" customWidth="1"/>
    <col min="13" max="16" width="9.109375" style="267"/>
    <col min="17" max="17" width="11.109375" style="267" bestFit="1" customWidth="1"/>
    <col min="18" max="18" width="14.44140625" style="267" customWidth="1"/>
    <col min="19" max="16384" width="9.109375" style="267"/>
  </cols>
  <sheetData>
    <row r="2" spans="2:21" ht="20.399999999999999">
      <c r="B2" s="1363" t="s">
        <v>480</v>
      </c>
      <c r="C2" s="1363"/>
      <c r="D2" s="1363"/>
      <c r="E2" s="1363"/>
      <c r="F2" s="1363"/>
      <c r="G2" s="1363"/>
      <c r="H2" s="1363"/>
      <c r="I2" s="1363"/>
      <c r="J2" s="1363"/>
      <c r="K2" s="1363"/>
      <c r="L2" s="1363"/>
    </row>
    <row r="3" spans="2:21" ht="21" thickBot="1">
      <c r="B3" s="1363" t="str">
        <f>" AND  "&amp;IF('KEY INPUTS'!C42="State Fiscal Year","FISCAL  YEAR  "&amp;'KEY INPUTS'!D33+1&amp;"",'KEY INPUTS'!D34+1)&amp;"  DEBT  SERVICE  FOR  LOANS"</f>
        <v xml:space="preserve"> AND  2025  DEBT  SERVICE  FOR  LOANS</v>
      </c>
      <c r="C3" s="1363"/>
      <c r="D3" s="1363"/>
      <c r="E3" s="1363"/>
      <c r="F3" s="1363"/>
      <c r="G3" s="1363"/>
      <c r="H3" s="1363"/>
      <c r="I3" s="1363"/>
      <c r="J3" s="1363"/>
      <c r="K3" s="1363"/>
      <c r="L3" s="1363"/>
    </row>
    <row r="4" spans="2:21" ht="16.2" thickBot="1">
      <c r="B4" s="1360" t="str">
        <f>UPPER('KEY INPUTS'!D$56)&amp;" UTILITY "&amp;IF(R4&lt;&gt;"",(UPPER(R4)),"")&amp;" LOAN"</f>
        <v xml:space="preserve"> UTILITY  LOAN</v>
      </c>
      <c r="C4" s="1360"/>
      <c r="D4" s="1360"/>
      <c r="E4" s="1360"/>
      <c r="F4" s="1360"/>
      <c r="G4" s="1360"/>
      <c r="H4" s="1360"/>
      <c r="I4" s="1360"/>
      <c r="J4" s="1360"/>
      <c r="K4" s="1360"/>
      <c r="L4" s="1360"/>
      <c r="Q4" s="1056" t="s">
        <v>3576</v>
      </c>
      <c r="R4" s="1057"/>
    </row>
    <row r="5" spans="2:21" ht="9.75" customHeight="1" thickBot="1">
      <c r="B5" s="383"/>
      <c r="C5" s="383"/>
      <c r="D5" s="383"/>
      <c r="E5" s="383"/>
      <c r="F5" s="383"/>
      <c r="G5" s="383"/>
      <c r="H5" s="383"/>
      <c r="I5" s="383"/>
      <c r="J5" s="383"/>
      <c r="K5" s="383"/>
      <c r="L5" s="383"/>
    </row>
    <row r="6" spans="2:21" ht="27.75" customHeight="1" thickTop="1" thickBot="1">
      <c r="B6" s="364"/>
      <c r="C6" s="364"/>
      <c r="D6" s="364"/>
      <c r="E6" s="364"/>
      <c r="F6" s="364"/>
      <c r="G6" s="304" t="s">
        <v>96</v>
      </c>
      <c r="H6" s="1401" t="s">
        <v>97</v>
      </c>
      <c r="I6" s="1351"/>
      <c r="J6" s="1407" t="str">
        <f>IF('KEY INPUTS'!C42="State Fiscal Year","Fiscal Year "&amp;'KEY INPUTS'!D33+1&amp;"",'KEY INPUTS'!D34+1)&amp;"  Debt Service"</f>
        <v>2025  Debt Service</v>
      </c>
      <c r="K6" s="1407"/>
      <c r="L6" s="1407"/>
      <c r="O6"/>
      <c r="P6"/>
      <c r="Q6"/>
      <c r="R6"/>
      <c r="S6"/>
      <c r="T6"/>
      <c r="U6"/>
    </row>
    <row r="7" spans="2:21" ht="21" customHeight="1" thickTop="1">
      <c r="B7" s="363" t="str">
        <f>'49a-Utility2'!B7</f>
        <v>Outstanding - January 1, 2024</v>
      </c>
      <c r="C7" s="313"/>
      <c r="D7" s="313"/>
      <c r="E7" s="313"/>
      <c r="F7" s="313"/>
      <c r="G7" s="757" t="s">
        <v>627</v>
      </c>
      <c r="H7" s="1293"/>
      <c r="I7" s="1294"/>
      <c r="O7"/>
      <c r="P7"/>
      <c r="Q7"/>
      <c r="R7"/>
      <c r="S7"/>
      <c r="T7"/>
      <c r="U7"/>
    </row>
    <row r="8" spans="2:21" ht="21" customHeight="1">
      <c r="B8" s="248" t="s">
        <v>92</v>
      </c>
      <c r="C8" s="248"/>
      <c r="D8" s="248"/>
      <c r="E8" s="248"/>
      <c r="F8" s="248"/>
      <c r="G8" s="702" t="s">
        <v>627</v>
      </c>
      <c r="H8" s="1291"/>
      <c r="I8" s="1292"/>
      <c r="O8" s="294"/>
      <c r="P8"/>
      <c r="Q8"/>
      <c r="R8"/>
      <c r="S8"/>
      <c r="T8"/>
      <c r="U8"/>
    </row>
    <row r="9" spans="2:21" ht="21" customHeight="1">
      <c r="B9" s="248"/>
      <c r="C9" s="248"/>
      <c r="D9" s="248"/>
      <c r="E9" s="248"/>
      <c r="F9" s="248"/>
      <c r="G9" s="702"/>
      <c r="H9" s="914"/>
      <c r="I9" s="915"/>
      <c r="O9"/>
      <c r="P9"/>
      <c r="Q9"/>
      <c r="R9"/>
      <c r="S9"/>
      <c r="T9"/>
      <c r="U9"/>
    </row>
    <row r="10" spans="2:21" ht="21" customHeight="1">
      <c r="B10" s="248" t="s">
        <v>254</v>
      </c>
      <c r="C10" s="248"/>
      <c r="D10" s="248"/>
      <c r="E10" s="248"/>
      <c r="F10" s="248"/>
      <c r="G10" s="450"/>
      <c r="H10" s="1306" t="s">
        <v>627</v>
      </c>
      <c r="I10" s="1307"/>
      <c r="O10"/>
      <c r="P10"/>
      <c r="Q10"/>
      <c r="R10"/>
      <c r="S10"/>
      <c r="T10"/>
      <c r="U10"/>
    </row>
    <row r="11" spans="2:21" ht="21" customHeight="1" thickBot="1">
      <c r="B11" s="248" t="str">
        <f>'49a-Utility2'!B11</f>
        <v>Outstanding - December 31, 2024</v>
      </c>
      <c r="C11" s="248"/>
      <c r="D11" s="248"/>
      <c r="E11" s="248"/>
      <c r="F11" s="248"/>
      <c r="G11" s="758">
        <f>+H7+H8-G10</f>
        <v>0</v>
      </c>
      <c r="H11" s="1300" t="s">
        <v>627</v>
      </c>
      <c r="I11" s="1301"/>
      <c r="O11"/>
      <c r="P11"/>
      <c r="Q11"/>
      <c r="R11"/>
      <c r="S11"/>
      <c r="T11"/>
      <c r="U11"/>
    </row>
    <row r="12" spans="2:21" ht="21" customHeight="1" thickBot="1">
      <c r="G12" s="755">
        <f>SUM(G7:G11)</f>
        <v>0</v>
      </c>
      <c r="H12" s="1304">
        <f>SUM(H7:I11)</f>
        <v>0</v>
      </c>
      <c r="I12" s="1305"/>
      <c r="O12"/>
      <c r="P12"/>
      <c r="Q12"/>
      <c r="R12"/>
      <c r="S12"/>
      <c r="T12"/>
      <c r="U12"/>
    </row>
    <row r="13" spans="2:21" ht="21" customHeight="1" thickTop="1">
      <c r="B13" s="333" t="str">
        <f>'49a-Utility3'!B13</f>
        <v>2025 Loan Maturities</v>
      </c>
      <c r="C13" s="333"/>
      <c r="D13" s="333"/>
      <c r="E13" s="333"/>
      <c r="F13" s="333"/>
      <c r="G13" s="333"/>
      <c r="H13" s="333"/>
      <c r="I13" s="381"/>
      <c r="J13" s="333" t="s">
        <v>373</v>
      </c>
      <c r="K13" s="1311"/>
      <c r="L13" s="1311"/>
      <c r="O13"/>
      <c r="P13"/>
      <c r="Q13"/>
      <c r="R13"/>
      <c r="S13"/>
      <c r="T13"/>
      <c r="U13"/>
    </row>
    <row r="14" spans="2:21" ht="21" customHeight="1" thickBot="1">
      <c r="B14" s="333" t="str">
        <f>'49a-Utility3'!B14</f>
        <v>2025 Interest on Loans</v>
      </c>
      <c r="C14" s="311"/>
      <c r="D14" s="311"/>
      <c r="E14" s="311"/>
      <c r="F14" s="311"/>
      <c r="G14" s="380"/>
      <c r="H14" s="311" t="s">
        <v>373</v>
      </c>
      <c r="I14" s="519"/>
      <c r="O14"/>
      <c r="P14"/>
      <c r="Q14"/>
      <c r="R14"/>
      <c r="S14"/>
      <c r="T14"/>
      <c r="U14"/>
    </row>
    <row r="15" spans="2:21" ht="16.5" customHeight="1" thickTop="1" thickBot="1">
      <c r="B15" s="1402"/>
      <c r="C15" s="1402"/>
      <c r="D15" s="1402"/>
      <c r="E15" s="1402"/>
      <c r="F15" s="1402"/>
      <c r="G15" s="1402"/>
      <c r="H15" s="1402"/>
      <c r="I15" s="1403"/>
      <c r="O15"/>
      <c r="P15"/>
      <c r="Q15"/>
      <c r="R15"/>
      <c r="S15"/>
      <c r="T15"/>
      <c r="U15"/>
    </row>
    <row r="16" spans="2:21" ht="16.2" thickBot="1">
      <c r="B16" s="1420" t="str">
        <f>UPPER('KEY INPUTS'!D$56)&amp;" UTILITY "&amp;IF(R16&lt;&gt;"",(UPPER(R16)),"")&amp;" LOAN"</f>
        <v xml:space="preserve"> UTILITY  LOAN</v>
      </c>
      <c r="C16" s="1420"/>
      <c r="D16" s="1420"/>
      <c r="E16" s="1420"/>
      <c r="F16" s="1420"/>
      <c r="G16" s="1420"/>
      <c r="H16" s="1420"/>
      <c r="I16" s="1421"/>
      <c r="O16"/>
      <c r="P16"/>
      <c r="Q16" s="1056" t="s">
        <v>3576</v>
      </c>
      <c r="R16" s="1057"/>
      <c r="S16"/>
      <c r="T16"/>
      <c r="U16"/>
    </row>
    <row r="17" spans="2:21" ht="21" customHeight="1" thickTop="1">
      <c r="B17" s="363" t="str">
        <f>'49a-Utility2'!B7</f>
        <v>Outstanding - January 1, 2024</v>
      </c>
      <c r="C17" s="313"/>
      <c r="D17" s="313"/>
      <c r="E17" s="313"/>
      <c r="F17" s="313"/>
      <c r="G17" s="757" t="s">
        <v>627</v>
      </c>
      <c r="H17" s="1293"/>
      <c r="I17" s="1294"/>
      <c r="O17"/>
      <c r="P17"/>
      <c r="Q17"/>
      <c r="R17"/>
      <c r="S17"/>
      <c r="T17"/>
      <c r="U17"/>
    </row>
    <row r="18" spans="2:21" ht="21" customHeight="1">
      <c r="B18" s="248" t="s">
        <v>92</v>
      </c>
      <c r="C18" s="248"/>
      <c r="D18" s="248"/>
      <c r="E18" s="248"/>
      <c r="F18" s="248"/>
      <c r="G18" s="702" t="s">
        <v>627</v>
      </c>
      <c r="H18" s="1291"/>
      <c r="I18" s="1292"/>
      <c r="O18"/>
      <c r="P18"/>
      <c r="Q18"/>
      <c r="R18"/>
      <c r="S18"/>
      <c r="T18"/>
      <c r="U18"/>
    </row>
    <row r="19" spans="2:21" ht="21" customHeight="1">
      <c r="B19" s="248" t="s">
        <v>254</v>
      </c>
      <c r="C19" s="248"/>
      <c r="D19" s="248"/>
      <c r="E19" s="248"/>
      <c r="F19" s="248"/>
      <c r="G19" s="450"/>
      <c r="H19" s="1306" t="s">
        <v>627</v>
      </c>
      <c r="I19" s="1307"/>
      <c r="O19"/>
      <c r="P19"/>
      <c r="Q19"/>
      <c r="R19"/>
      <c r="S19"/>
      <c r="T19"/>
      <c r="U19"/>
    </row>
    <row r="20" spans="2:21" ht="21" customHeight="1">
      <c r="B20" s="248"/>
      <c r="C20" s="248"/>
      <c r="D20" s="248"/>
      <c r="E20" s="248"/>
      <c r="F20" s="248"/>
      <c r="G20" s="767"/>
      <c r="H20" s="1308"/>
      <c r="I20" s="1309"/>
      <c r="O20"/>
      <c r="P20"/>
      <c r="Q20"/>
      <c r="R20"/>
      <c r="S20"/>
      <c r="T20"/>
      <c r="U20"/>
    </row>
    <row r="21" spans="2:21" ht="21" customHeight="1">
      <c r="B21" s="248"/>
      <c r="C21" s="248"/>
      <c r="D21" s="248"/>
      <c r="E21" s="248"/>
      <c r="F21" s="248"/>
      <c r="G21" s="767"/>
      <c r="H21" s="1308"/>
      <c r="I21" s="1309"/>
      <c r="O21"/>
      <c r="P21"/>
      <c r="Q21"/>
      <c r="R21"/>
      <c r="S21"/>
      <c r="T21"/>
      <c r="U21"/>
    </row>
    <row r="22" spans="2:21" ht="21" customHeight="1" thickBot="1">
      <c r="B22" s="248" t="str">
        <f>'49a-Utility2'!B11</f>
        <v>Outstanding - December 31, 2024</v>
      </c>
      <c r="C22" s="248"/>
      <c r="D22" s="248"/>
      <c r="E22" s="248"/>
      <c r="F22" s="248"/>
      <c r="G22" s="758">
        <f>+H17+H18-G19-G20-G21+H20+H21</f>
        <v>0</v>
      </c>
      <c r="H22" s="1300" t="s">
        <v>627</v>
      </c>
      <c r="I22" s="1301"/>
      <c r="O22"/>
      <c r="P22"/>
      <c r="Q22"/>
      <c r="R22"/>
      <c r="S22"/>
      <c r="T22"/>
      <c r="U22"/>
    </row>
    <row r="23" spans="2:21" ht="21" customHeight="1" thickBot="1">
      <c r="G23" s="755">
        <f>SUM(G17:G22)</f>
        <v>0</v>
      </c>
      <c r="H23" s="1304">
        <f>SUM(H17:I22)</f>
        <v>0</v>
      </c>
      <c r="I23" s="1305"/>
    </row>
    <row r="24" spans="2:21" ht="21" customHeight="1" thickTop="1">
      <c r="B24" s="333" t="str">
        <f>B13</f>
        <v>2025 Loan Maturities</v>
      </c>
      <c r="C24" s="333"/>
      <c r="D24" s="333"/>
      <c r="E24" s="333"/>
      <c r="F24" s="333"/>
      <c r="G24" s="333"/>
      <c r="H24" s="333"/>
      <c r="I24" s="381"/>
      <c r="J24" s="333" t="s">
        <v>373</v>
      </c>
      <c r="K24" s="1311"/>
      <c r="L24" s="1311"/>
    </row>
    <row r="25" spans="2:21" ht="21" customHeight="1" thickBot="1">
      <c r="B25" s="311" t="str">
        <f>B14</f>
        <v>2025 Interest on Loans</v>
      </c>
      <c r="C25" s="311"/>
      <c r="D25" s="311"/>
      <c r="E25" s="311"/>
      <c r="F25" s="311"/>
      <c r="G25" s="380"/>
      <c r="H25" s="311" t="s">
        <v>373</v>
      </c>
      <c r="I25" s="456"/>
      <c r="J25" s="375"/>
      <c r="K25" s="311"/>
      <c r="L25" s="311"/>
    </row>
    <row r="26" spans="2:21" ht="21" customHeight="1" thickTop="1"/>
    <row r="27" spans="2:21" ht="19.5" customHeight="1" thickBot="1">
      <c r="B27" s="1420" t="str">
        <f>"INTEREST  ON  LOANS  - "&amp;UPPER('KEY INPUTS'!D56)&amp;"  UTILITY  BUDGET"</f>
        <v>INTEREST  ON  LOANS  -   UTILITY  BUDGET</v>
      </c>
      <c r="C27" s="1420"/>
      <c r="D27" s="1420"/>
      <c r="E27" s="1420"/>
      <c r="F27" s="1420"/>
      <c r="G27" s="1420"/>
      <c r="H27" s="1420"/>
      <c r="I27" s="1420"/>
      <c r="J27" s="1420"/>
      <c r="K27" s="1420"/>
      <c r="L27" s="1420"/>
    </row>
    <row r="28" spans="2:21" ht="21" customHeight="1" thickTop="1">
      <c r="B28" s="313" t="str">
        <f>'49a-Utility1'!B28</f>
        <v>2025 Interest on Loans (*Items)</v>
      </c>
      <c r="C28" s="313"/>
      <c r="D28" s="313"/>
      <c r="E28" s="313"/>
      <c r="F28" s="313"/>
      <c r="G28" s="313"/>
      <c r="H28" s="313" t="s">
        <v>373</v>
      </c>
      <c r="I28" s="384">
        <f>+I25+I14</f>
        <v>0</v>
      </c>
    </row>
    <row r="29" spans="2:21" ht="21" customHeight="1">
      <c r="B29" s="248" t="str">
        <f>'49a-Utility1'!B29</f>
        <v>Less: Interest Accrued to 12/31/2024 (Trial Balance)</v>
      </c>
      <c r="C29" s="248"/>
      <c r="D29" s="248"/>
      <c r="E29" s="248"/>
      <c r="F29" s="248"/>
      <c r="G29" s="248"/>
      <c r="H29" s="248" t="s">
        <v>373</v>
      </c>
      <c r="I29" s="449"/>
    </row>
    <row r="30" spans="2:21" ht="21" customHeight="1">
      <c r="B30" s="248"/>
      <c r="C30" s="248" t="s">
        <v>317</v>
      </c>
      <c r="D30" s="248"/>
      <c r="E30" s="248"/>
      <c r="F30" s="248"/>
      <c r="G30" s="248"/>
      <c r="H30" s="248" t="s">
        <v>373</v>
      </c>
      <c r="I30" s="379">
        <f>+I28-I29</f>
        <v>0</v>
      </c>
    </row>
    <row r="31" spans="2:21" ht="21" customHeight="1">
      <c r="B31" s="248" t="str">
        <f>'49a-Utility1'!B31</f>
        <v>Add: Interest to be Accrued as of 12/31/2025</v>
      </c>
      <c r="C31" s="248"/>
      <c r="D31" s="248"/>
      <c r="E31" s="248"/>
      <c r="F31" s="248"/>
      <c r="G31" s="248"/>
      <c r="H31" s="248" t="s">
        <v>373</v>
      </c>
      <c r="I31" s="449"/>
    </row>
    <row r="32" spans="2:21" ht="21" customHeight="1">
      <c r="B32" s="248" t="str">
        <f>'49a-Utility1'!B32</f>
        <v>Required Appropriation 2025</v>
      </c>
      <c r="C32" s="248"/>
      <c r="D32" s="248"/>
      <c r="E32" s="248"/>
      <c r="F32" s="248"/>
      <c r="G32" s="248"/>
      <c r="H32" s="248"/>
      <c r="I32" s="312"/>
      <c r="J32" s="376" t="s">
        <v>373</v>
      </c>
      <c r="K32" s="1414">
        <f>+I30+I31</f>
        <v>0</v>
      </c>
      <c r="L32" s="1415"/>
    </row>
    <row r="33" spans="2:12" ht="13.5" customHeight="1">
      <c r="K33" s="378"/>
      <c r="L33" s="302"/>
    </row>
    <row r="34" spans="2:12" ht="13.5" customHeight="1">
      <c r="K34" s="378"/>
      <c r="L34" s="302"/>
    </row>
    <row r="35" spans="2:12" ht="21" customHeight="1" thickBot="1">
      <c r="B35" s="1404" t="str">
        <f>'49-Utility1'!B35</f>
        <v>LIST  OF  BONDS  ISSUED  DURING  2024</v>
      </c>
      <c r="C35" s="1404"/>
      <c r="D35" s="1404"/>
      <c r="E35" s="1404"/>
      <c r="F35" s="1404"/>
      <c r="G35" s="1404"/>
      <c r="H35" s="1404"/>
      <c r="I35" s="1404"/>
      <c r="J35" s="1404"/>
      <c r="K35" s="1404"/>
      <c r="L35" s="1404"/>
    </row>
    <row r="36" spans="2:12" ht="27" customHeight="1" thickTop="1" thickBot="1">
      <c r="B36" s="1350" t="s">
        <v>413</v>
      </c>
      <c r="C36" s="1350"/>
      <c r="D36" s="1350"/>
      <c r="E36" s="1350"/>
      <c r="F36" s="1350"/>
      <c r="G36" s="304" t="str">
        <f>'49a-Utility2'!G36</f>
        <v>2025 Maturity</v>
      </c>
      <c r="H36" s="1401" t="s">
        <v>91</v>
      </c>
      <c r="I36" s="1351"/>
      <c r="J36" s="1399" t="s">
        <v>89</v>
      </c>
      <c r="K36" s="1400"/>
      <c r="L36" s="377" t="s">
        <v>90</v>
      </c>
    </row>
    <row r="37" spans="2:12" ht="21" customHeight="1" thickTop="1">
      <c r="B37" s="518"/>
      <c r="C37" s="518"/>
      <c r="D37" s="518"/>
      <c r="E37" s="518"/>
      <c r="F37" s="518"/>
      <c r="G37" s="454"/>
      <c r="H37" s="1293"/>
      <c r="I37" s="1294"/>
      <c r="J37" s="1422"/>
      <c r="K37" s="1417"/>
      <c r="L37" s="669"/>
    </row>
    <row r="38" spans="2:12" ht="21" customHeight="1">
      <c r="B38" s="495"/>
      <c r="C38" s="495"/>
      <c r="D38" s="495"/>
      <c r="E38" s="495"/>
      <c r="F38" s="495"/>
      <c r="G38" s="450"/>
      <c r="H38" s="1291"/>
      <c r="I38" s="1292"/>
      <c r="J38" s="1397"/>
      <c r="K38" s="1398"/>
      <c r="L38" s="670"/>
    </row>
    <row r="39" spans="2:12" ht="21" customHeight="1">
      <c r="B39" s="495"/>
      <c r="C39" s="495"/>
      <c r="D39" s="495"/>
      <c r="E39" s="495"/>
      <c r="F39" s="495"/>
      <c r="G39" s="450"/>
      <c r="H39" s="1291"/>
      <c r="I39" s="1292"/>
      <c r="J39" s="1397"/>
      <c r="K39" s="1398"/>
      <c r="L39" s="670"/>
    </row>
    <row r="40" spans="2:12" ht="21" customHeight="1">
      <c r="B40" s="495"/>
      <c r="C40" s="495"/>
      <c r="D40" s="495"/>
      <c r="E40" s="495"/>
      <c r="F40" s="495"/>
      <c r="G40" s="450"/>
      <c r="H40" s="1291"/>
      <c r="I40" s="1292"/>
      <c r="J40" s="1397"/>
      <c r="K40" s="1398"/>
      <c r="L40" s="670"/>
    </row>
    <row r="41" spans="2:12" ht="21" customHeight="1" thickBot="1">
      <c r="B41" s="311"/>
      <c r="C41" s="311"/>
      <c r="D41" s="311"/>
      <c r="E41" s="311"/>
      <c r="F41" s="310"/>
      <c r="G41" s="755">
        <f>SUM(G37:G40)</f>
        <v>0</v>
      </c>
      <c r="H41" s="1289">
        <f>SUM(H37:I40)</f>
        <v>0</v>
      </c>
      <c r="I41" s="1290"/>
      <c r="J41" s="375"/>
      <c r="K41" s="311"/>
      <c r="L41" s="315"/>
    </row>
    <row r="42" spans="2:12" ht="13.8" thickTop="1">
      <c r="G42" s="347"/>
      <c r="H42" s="347"/>
      <c r="I42" s="347"/>
    </row>
    <row r="51" spans="2:12" ht="13.8">
      <c r="B51" s="1353" t="s">
        <v>3355</v>
      </c>
      <c r="C51" s="1353"/>
      <c r="D51" s="1353"/>
      <c r="E51" s="1353"/>
      <c r="F51" s="1353"/>
      <c r="G51" s="1353"/>
      <c r="H51" s="1353"/>
      <c r="I51" s="1353"/>
      <c r="J51" s="1353"/>
      <c r="K51" s="1353"/>
      <c r="L51" s="1353"/>
    </row>
  </sheetData>
  <sheetProtection algorithmName="SHA-512" hashValue="oFXiyL/t+vx2iJrQQHAAOya8lT6rEVWJtT6YJvcnhLXZI6B/h/vuKKEUfwGMZjGTzFsjr1lLKkdZNnsrihgvlg==" saltValue="yU3f8xzNfDKKnH0t/QmkHw=="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1:L51"/>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9FCC2-6996-4426-BDB5-E1910A8ED8CD}">
  <sheetPr codeName="Sheet296">
    <tabColor theme="5" tint="0.59999389629810485"/>
  </sheetPr>
  <dimension ref="A2:V30"/>
  <sheetViews>
    <sheetView zoomScaleNormal="100" zoomScaleSheetLayoutView="80" workbookViewId="0">
      <selection activeCell="D23" sqref="D23:D27"/>
    </sheetView>
  </sheetViews>
  <sheetFormatPr defaultColWidth="8.88671875" defaultRowHeight="13.2"/>
  <cols>
    <col min="1" max="1" width="5.6640625" style="267" customWidth="1"/>
    <col min="2" max="3" width="4.88671875" style="267" customWidth="1"/>
    <col min="4" max="4" width="30.44140625" style="267" customWidth="1"/>
    <col min="5" max="11" width="15.6640625" style="267" customWidth="1"/>
    <col min="12" max="12" width="1.6640625" style="267" customWidth="1"/>
    <col min="13" max="13" width="12.6640625" style="267" customWidth="1"/>
    <col min="14" max="16384" width="8.88671875" style="267"/>
  </cols>
  <sheetData>
    <row r="2" spans="1:22" ht="20.399999999999999">
      <c r="B2" s="1363" t="str">
        <f>"DEBT  SERVICE  FOR  "&amp;UPPER('KEY INPUTS'!D56)&amp;"  UTILITY  NOTES  (OTHER  THAN  UTILITY  ASSESSMENT  NOTES)"</f>
        <v>DEBT  SERVICE  FOR    UTILITY  NOTES  (OTHER  THAN  UTILITY  ASSESSMENT  NOTES)</v>
      </c>
      <c r="C2" s="1363"/>
      <c r="D2" s="1363"/>
      <c r="E2" s="1363"/>
      <c r="F2" s="1363"/>
      <c r="G2" s="1363"/>
      <c r="H2" s="1363"/>
      <c r="I2" s="1363"/>
      <c r="J2" s="1363"/>
      <c r="K2" s="1363"/>
      <c r="L2" s="1363"/>
      <c r="M2" s="1363"/>
    </row>
    <row r="3" spans="1:22" ht="21" thickBot="1">
      <c r="B3" s="1363"/>
      <c r="C3" s="1363"/>
      <c r="D3" s="1363"/>
      <c r="E3" s="1363"/>
      <c r="F3" s="1363"/>
      <c r="G3" s="1363"/>
      <c r="H3" s="1363"/>
      <c r="I3" s="1363"/>
      <c r="J3" s="1363"/>
      <c r="K3" s="1363"/>
      <c r="L3" s="1363"/>
      <c r="M3" s="1363"/>
    </row>
    <row r="4" spans="1:22" ht="13.5" customHeight="1" thickTop="1">
      <c r="B4" s="323"/>
      <c r="C4" s="323"/>
      <c r="D4" s="323"/>
      <c r="E4" s="324"/>
      <c r="F4" s="324"/>
      <c r="G4" s="324"/>
      <c r="H4" s="324"/>
      <c r="I4" s="324"/>
      <c r="J4" s="323"/>
      <c r="K4" s="846"/>
      <c r="L4" s="323"/>
      <c r="M4" s="847"/>
    </row>
    <row r="5" spans="1:22" ht="13.5" customHeight="1">
      <c r="E5" s="320" t="s">
        <v>139</v>
      </c>
      <c r="F5" s="319" t="s">
        <v>139</v>
      </c>
      <c r="G5" s="319" t="s">
        <v>414</v>
      </c>
      <c r="H5" s="319" t="s">
        <v>17</v>
      </c>
      <c r="I5" s="319" t="s">
        <v>542</v>
      </c>
      <c r="J5" s="1423" t="str">
        <f>IF('KEY INPUTS'!C42="State Fiscal Year","Fiscal Year "&amp;'KEY INPUTS'!D33+1&amp;"",'KEY INPUTS'!D34+1)&amp;""</f>
        <v>2025</v>
      </c>
      <c r="K5" s="1424"/>
      <c r="L5" s="848"/>
      <c r="M5" s="849" t="s">
        <v>543</v>
      </c>
    </row>
    <row r="6" spans="1:22" ht="13.5" customHeight="1">
      <c r="C6" s="1352" t="s">
        <v>138</v>
      </c>
      <c r="D6" s="1427"/>
      <c r="E6" s="320" t="s">
        <v>414</v>
      </c>
      <c r="F6" s="319" t="s">
        <v>140</v>
      </c>
      <c r="G6" s="319" t="s">
        <v>539</v>
      </c>
      <c r="H6" s="319" t="s">
        <v>540</v>
      </c>
      <c r="I6" s="319" t="s">
        <v>540</v>
      </c>
      <c r="J6" s="1425"/>
      <c r="K6" s="1426"/>
      <c r="L6" s="850"/>
      <c r="M6" s="849" t="s">
        <v>546</v>
      </c>
    </row>
    <row r="7" spans="1:22" ht="13.5" customHeight="1">
      <c r="E7" s="320" t="s">
        <v>92</v>
      </c>
      <c r="F7" s="320" t="s">
        <v>141</v>
      </c>
      <c r="G7" s="320" t="s">
        <v>198</v>
      </c>
      <c r="H7" s="320" t="s">
        <v>541</v>
      </c>
      <c r="I7" s="320" t="s">
        <v>543</v>
      </c>
      <c r="J7" s="320" t="s">
        <v>113</v>
      </c>
      <c r="K7" s="320" t="s">
        <v>544</v>
      </c>
      <c r="L7" s="319"/>
      <c r="M7" s="849" t="s">
        <v>547</v>
      </c>
    </row>
    <row r="8" spans="1:22" ht="13.5" customHeight="1" thickBot="1">
      <c r="B8" s="318"/>
      <c r="C8" s="318"/>
      <c r="D8" s="318"/>
      <c r="E8" s="316"/>
      <c r="F8" s="316"/>
      <c r="G8" s="605" t="str">
        <f>IF('KEY INPUTS'!C42 = "State Fiscal Year", 'KEY INPUTS'!F47,'KEY INPUTS'!D47)</f>
        <v>Dec. 31, 2024</v>
      </c>
      <c r="H8" s="316"/>
      <c r="I8" s="316"/>
      <c r="J8" s="317"/>
      <c r="K8" s="402"/>
      <c r="L8" s="851"/>
      <c r="M8" s="852"/>
      <c r="P8"/>
      <c r="Q8"/>
      <c r="R8"/>
      <c r="S8"/>
      <c r="T8"/>
      <c r="U8"/>
      <c r="V8"/>
    </row>
    <row r="9" spans="1:22" ht="21" customHeight="1" thickTop="1">
      <c r="B9" s="399" t="s">
        <v>292</v>
      </c>
      <c r="C9" s="518"/>
      <c r="D9" s="520"/>
      <c r="E9" s="454"/>
      <c r="F9" s="950"/>
      <c r="G9" s="454"/>
      <c r="H9" s="964"/>
      <c r="I9" s="606"/>
      <c r="J9" s="454"/>
      <c r="K9" s="454">
        <f>+I9*G9</f>
        <v>0</v>
      </c>
      <c r="L9" s="965"/>
      <c r="M9" s="966"/>
      <c r="P9"/>
      <c r="Q9"/>
      <c r="R9"/>
      <c r="S9"/>
      <c r="T9"/>
      <c r="U9"/>
      <c r="V9"/>
    </row>
    <row r="10" spans="1:22" ht="21" customHeight="1">
      <c r="B10" s="398" t="s">
        <v>293</v>
      </c>
      <c r="C10" s="524"/>
      <c r="D10" s="499"/>
      <c r="E10" s="450"/>
      <c r="F10" s="951"/>
      <c r="G10" s="450"/>
      <c r="H10" s="967"/>
      <c r="I10" s="471"/>
      <c r="J10" s="968"/>
      <c r="K10" s="450">
        <f>+I10*G10</f>
        <v>0</v>
      </c>
      <c r="L10" s="479"/>
      <c r="M10" s="969"/>
      <c r="N10" s="267" t="s">
        <v>3131</v>
      </c>
      <c r="O10" s="267" t="s">
        <v>3131</v>
      </c>
      <c r="P10" s="294"/>
      <c r="Q10"/>
      <c r="R10"/>
      <c r="S10"/>
      <c r="T10"/>
      <c r="U10"/>
      <c r="V10"/>
    </row>
    <row r="11" spans="1:22" ht="21" customHeight="1">
      <c r="B11" s="398" t="s">
        <v>294</v>
      </c>
      <c r="C11" s="495"/>
      <c r="D11" s="499"/>
      <c r="E11" s="450"/>
      <c r="F11" s="529"/>
      <c r="G11" s="450"/>
      <c r="H11" s="450"/>
      <c r="I11" s="471"/>
      <c r="J11" s="450"/>
      <c r="K11" s="450"/>
      <c r="L11" s="479"/>
      <c r="M11" s="528"/>
      <c r="P11"/>
      <c r="Q11"/>
      <c r="R11"/>
      <c r="S11"/>
      <c r="T11"/>
      <c r="U11"/>
      <c r="V11"/>
    </row>
    <row r="12" spans="1:22" ht="21" customHeight="1">
      <c r="B12" s="398" t="s">
        <v>295</v>
      </c>
      <c r="C12" s="495"/>
      <c r="D12" s="499"/>
      <c r="E12" s="450"/>
      <c r="F12" s="529"/>
      <c r="G12" s="450"/>
      <c r="H12" s="450"/>
      <c r="I12" s="471"/>
      <c r="J12" s="450"/>
      <c r="K12" s="450"/>
      <c r="L12" s="479"/>
      <c r="M12" s="528"/>
      <c r="P12"/>
      <c r="Q12"/>
      <c r="R12"/>
      <c r="S12"/>
      <c r="T12"/>
      <c r="U12"/>
      <c r="V12"/>
    </row>
    <row r="13" spans="1:22" ht="21" customHeight="1">
      <c r="B13" s="398" t="s">
        <v>296</v>
      </c>
      <c r="C13" s="495"/>
      <c r="D13" s="499"/>
      <c r="E13" s="450"/>
      <c r="F13" s="529"/>
      <c r="G13" s="450"/>
      <c r="H13" s="450"/>
      <c r="I13" s="471"/>
      <c r="J13" s="450"/>
      <c r="K13" s="450"/>
      <c r="L13" s="479"/>
      <c r="M13" s="528"/>
      <c r="P13"/>
      <c r="Q13"/>
      <c r="R13"/>
      <c r="S13"/>
      <c r="T13"/>
      <c r="U13"/>
      <c r="V13"/>
    </row>
    <row r="14" spans="1:22" ht="21" customHeight="1">
      <c r="B14" s="398" t="s">
        <v>297</v>
      </c>
      <c r="C14" s="495"/>
      <c r="D14" s="499"/>
      <c r="E14" s="453"/>
      <c r="F14" s="530"/>
      <c r="G14" s="453"/>
      <c r="H14" s="453"/>
      <c r="I14" s="474"/>
      <c r="J14" s="450"/>
      <c r="K14" s="450"/>
      <c r="L14" s="479"/>
      <c r="M14" s="528"/>
      <c r="P14"/>
      <c r="Q14"/>
      <c r="R14"/>
      <c r="S14"/>
      <c r="T14"/>
      <c r="U14"/>
      <c r="V14"/>
    </row>
    <row r="15" spans="1:22" ht="21" customHeight="1">
      <c r="A15" s="1367" t="s">
        <v>3167</v>
      </c>
      <c r="B15" s="398" t="s">
        <v>298</v>
      </c>
      <c r="C15" s="531"/>
      <c r="D15" s="532"/>
      <c r="E15" s="450"/>
      <c r="F15" s="529"/>
      <c r="G15" s="450"/>
      <c r="H15" s="450"/>
      <c r="I15" s="471"/>
      <c r="J15" s="450"/>
      <c r="K15" s="450"/>
      <c r="L15" s="479"/>
      <c r="M15" s="528"/>
      <c r="P15"/>
      <c r="Q15"/>
      <c r="R15"/>
      <c r="S15"/>
      <c r="T15"/>
      <c r="U15"/>
      <c r="V15"/>
    </row>
    <row r="16" spans="1:22" ht="21" customHeight="1">
      <c r="A16" s="1367"/>
      <c r="B16" s="398" t="s">
        <v>384</v>
      </c>
      <c r="C16" s="495"/>
      <c r="D16" s="499"/>
      <c r="E16" s="450"/>
      <c r="F16" s="529"/>
      <c r="G16" s="450"/>
      <c r="H16" s="450"/>
      <c r="I16" s="471"/>
      <c r="J16" s="450"/>
      <c r="K16" s="450"/>
      <c r="L16" s="479"/>
      <c r="M16" s="528"/>
      <c r="P16"/>
      <c r="Q16"/>
      <c r="R16"/>
      <c r="S16"/>
      <c r="T16"/>
      <c r="U16"/>
      <c r="V16"/>
    </row>
    <row r="17" spans="1:22" ht="21" customHeight="1">
      <c r="A17" s="1367"/>
      <c r="B17" s="398" t="s">
        <v>385</v>
      </c>
      <c r="C17" s="495"/>
      <c r="D17" s="499"/>
      <c r="E17" s="450"/>
      <c r="F17" s="529"/>
      <c r="G17" s="450"/>
      <c r="H17" s="450"/>
      <c r="I17" s="471"/>
      <c r="J17" s="450"/>
      <c r="K17" s="450"/>
      <c r="L17" s="479"/>
      <c r="M17" s="528"/>
      <c r="P17"/>
      <c r="Q17"/>
      <c r="R17"/>
      <c r="S17"/>
      <c r="T17"/>
      <c r="U17"/>
      <c r="V17"/>
    </row>
    <row r="18" spans="1:22" ht="21" customHeight="1">
      <c r="A18" s="397"/>
      <c r="B18" s="538" t="s">
        <v>786</v>
      </c>
      <c r="C18" s="248"/>
      <c r="D18" s="312"/>
      <c r="E18" s="114">
        <f>SUM(E9:E17)</f>
        <v>0</v>
      </c>
      <c r="F18" s="534"/>
      <c r="G18" s="114">
        <f>SUM(G9:G17)</f>
        <v>0</v>
      </c>
      <c r="H18" s="114"/>
      <c r="I18" s="970"/>
      <c r="J18" s="114">
        <f>SUM(J9:J17)</f>
        <v>0</v>
      </c>
      <c r="K18" s="114">
        <f>SUM(K9:K17)</f>
        <v>0</v>
      </c>
      <c r="L18" s="971"/>
      <c r="M18" s="537"/>
      <c r="P18"/>
      <c r="Q18"/>
      <c r="R18"/>
      <c r="S18"/>
      <c r="T18"/>
      <c r="U18"/>
      <c r="V18"/>
    </row>
    <row r="19" spans="1:22" ht="21" customHeight="1">
      <c r="A19" s="397"/>
      <c r="B19" s="368"/>
      <c r="E19" s="176"/>
      <c r="G19" s="176"/>
      <c r="H19" s="176"/>
      <c r="I19" s="972"/>
      <c r="J19" s="176"/>
      <c r="K19" s="176"/>
      <c r="L19" s="176"/>
      <c r="P19"/>
      <c r="Q19"/>
      <c r="R19"/>
      <c r="S19"/>
      <c r="T19"/>
      <c r="U19"/>
      <c r="V19"/>
    </row>
    <row r="20" spans="1:22" ht="21" customHeight="1">
      <c r="A20" s="397"/>
      <c r="B20" s="368"/>
      <c r="E20" s="176"/>
      <c r="G20" s="176"/>
      <c r="H20" s="176"/>
      <c r="I20" s="972"/>
      <c r="J20" s="176"/>
      <c r="K20" s="176"/>
      <c r="L20" s="176"/>
      <c r="P20"/>
      <c r="Q20"/>
      <c r="R20"/>
      <c r="S20"/>
      <c r="T20"/>
      <c r="U20"/>
      <c r="V20"/>
    </row>
    <row r="21" spans="1:22" ht="13.5" customHeight="1">
      <c r="B21" s="394"/>
      <c r="C21" s="309"/>
      <c r="D21" s="393"/>
      <c r="J21" s="385"/>
      <c r="P21"/>
      <c r="Q21"/>
      <c r="R21"/>
      <c r="S21"/>
      <c r="T21"/>
      <c r="U21"/>
      <c r="V21"/>
    </row>
    <row r="22" spans="1:22">
      <c r="B22" s="361" t="s">
        <v>40</v>
      </c>
      <c r="C22" s="385"/>
      <c r="D22" s="392"/>
      <c r="E22" s="385"/>
      <c r="I22" s="1392"/>
      <c r="J22" s="1392"/>
      <c r="K22" s="1392"/>
      <c r="L22" s="1392"/>
      <c r="M22" s="1392"/>
      <c r="P22"/>
      <c r="Q22"/>
      <c r="R22"/>
      <c r="S22"/>
      <c r="T22"/>
      <c r="U22"/>
      <c r="V22"/>
    </row>
    <row r="23" spans="1:22" ht="15.6" customHeight="1">
      <c r="B23" s="386" t="s">
        <v>41</v>
      </c>
      <c r="C23" s="386"/>
      <c r="D23" s="361" t="s">
        <v>3577</v>
      </c>
      <c r="E23" s="385"/>
      <c r="M23" s="61"/>
      <c r="P23"/>
      <c r="Q23"/>
      <c r="R23"/>
      <c r="S23"/>
      <c r="T23"/>
      <c r="U23"/>
      <c r="V23"/>
    </row>
    <row r="24" spans="1:22" ht="15.6" customHeight="1">
      <c r="B24" s="361"/>
      <c r="C24" s="361"/>
      <c r="D24" s="386" t="s">
        <v>42</v>
      </c>
      <c r="E24" s="385"/>
      <c r="M24" s="973"/>
      <c r="P24"/>
      <c r="Q24"/>
      <c r="R24"/>
      <c r="S24"/>
      <c r="T24"/>
      <c r="U24"/>
      <c r="V24"/>
    </row>
    <row r="25" spans="1:22" ht="15.6" customHeight="1">
      <c r="B25" s="361"/>
      <c r="C25" s="361"/>
      <c r="D25" s="361" t="s">
        <v>43</v>
      </c>
      <c r="E25" s="385"/>
      <c r="M25" s="61"/>
    </row>
    <row r="26" spans="1:22" ht="15.6" customHeight="1">
      <c r="B26" s="361"/>
      <c r="C26" s="361"/>
      <c r="D26" s="361" t="str">
        <f>"All notes with an original date of issue of "&amp;IF('KEY INPUTS'!C42="State Fiscal Year","FY "&amp;'KEY INPUTS'!D33-2&amp;"",'KEY INPUTS'!D34-2)&amp;" or prior require one legally payable installment to be budgeted if"</f>
        <v>All notes with an original date of issue of 2022 or prior require one legally payable installment to be budgeted if</v>
      </c>
      <c r="E26" s="385"/>
      <c r="M26" s="973"/>
    </row>
    <row r="27" spans="1:22" ht="15.6" customHeight="1">
      <c r="B27" s="361"/>
      <c r="C27" s="361"/>
      <c r="D27" s="361" t="str">
        <f>"it is contemplated that such notes will be renewed in "&amp;IF('KEY INPUTS'!C42="State Fiscal Year","FY "&amp;'KEY INPUTS'!D33+1&amp;"",'KEY INPUTS'!D34+1)&amp;" or written intent of permanent financing submitted."</f>
        <v>it is contemplated that such notes will be renewed in 2025 or written intent of permanent financing submitted.</v>
      </c>
      <c r="E27" s="385"/>
      <c r="M27" s="61"/>
    </row>
    <row r="28" spans="1:22">
      <c r="B28" s="361"/>
      <c r="C28" s="361"/>
      <c r="D28" s="361" t="s">
        <v>44</v>
      </c>
      <c r="E28" s="385"/>
    </row>
    <row r="29" spans="1:22">
      <c r="B29" s="385"/>
      <c r="C29" s="385"/>
      <c r="D29" s="386" t="s">
        <v>45</v>
      </c>
      <c r="E29" s="385"/>
    </row>
    <row r="30" spans="1:22">
      <c r="J30" s="385" t="s">
        <v>98</v>
      </c>
    </row>
  </sheetData>
  <sheetProtection algorithmName="SHA-512" hashValue="mFF9nn4b96V9o10+zV6lNPjuFSy9pc42MQZAvO0tVfsJng1im0IaXbFndL9bLEb9fybGy/yAPOifsQgL4oiOfQ==" saltValue="Kgche3hFjVdTzqzXyCkpkA=="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89B1E-AE0F-46E7-8285-7B41D27D303D}">
  <sheetPr codeName="Sheet214">
    <tabColor theme="5" tint="0.59999389629810485"/>
  </sheetPr>
  <dimension ref="A2:V30"/>
  <sheetViews>
    <sheetView zoomScaleNormal="100" zoomScaleSheetLayoutView="80" workbookViewId="0">
      <selection activeCell="R13" sqref="R13"/>
    </sheetView>
  </sheetViews>
  <sheetFormatPr defaultColWidth="8.88671875" defaultRowHeight="13.2"/>
  <cols>
    <col min="1" max="1" width="5.6640625" style="267" customWidth="1"/>
    <col min="2" max="3" width="4.88671875" style="267" customWidth="1"/>
    <col min="4" max="4" width="30.44140625" style="267" customWidth="1"/>
    <col min="5" max="11" width="15.6640625" style="267" customWidth="1"/>
    <col min="12" max="12" width="1.6640625" style="267" customWidth="1"/>
    <col min="13" max="13" width="12.6640625" style="267" customWidth="1"/>
    <col min="14" max="16384" width="8.88671875" style="267"/>
  </cols>
  <sheetData>
    <row r="2" spans="1:22" ht="20.399999999999999">
      <c r="B2" s="1363" t="str">
        <f>"DEBT  SERVICE  FOR  "&amp;UPPER('KEY INPUTS'!D56)&amp;"  UTILITY  NOTES  (OTHER  THAN  UTILITY  ASSESSMENT  NOTES)"</f>
        <v>DEBT  SERVICE  FOR    UTILITY  NOTES  (OTHER  THAN  UTILITY  ASSESSMENT  NOTES)</v>
      </c>
      <c r="C2" s="1363"/>
      <c r="D2" s="1363"/>
      <c r="E2" s="1363"/>
      <c r="F2" s="1363"/>
      <c r="G2" s="1363"/>
      <c r="H2" s="1363"/>
      <c r="I2" s="1363"/>
      <c r="J2" s="1363"/>
      <c r="K2" s="1363"/>
      <c r="L2" s="1363"/>
      <c r="M2" s="1363"/>
    </row>
    <row r="3" spans="1:22" ht="21" thickBot="1">
      <c r="B3" s="1363"/>
      <c r="C3" s="1363"/>
      <c r="D3" s="1363"/>
      <c r="E3" s="1363"/>
      <c r="F3" s="1363"/>
      <c r="G3" s="1363"/>
      <c r="H3" s="1363"/>
      <c r="I3" s="1363"/>
      <c r="J3" s="1363"/>
      <c r="K3" s="1363"/>
      <c r="L3" s="1363"/>
      <c r="M3" s="1363"/>
    </row>
    <row r="4" spans="1:22" ht="13.5" customHeight="1" thickTop="1">
      <c r="B4" s="323"/>
      <c r="C4" s="323"/>
      <c r="D4" s="323"/>
      <c r="E4" s="324"/>
      <c r="F4" s="324"/>
      <c r="G4" s="324"/>
      <c r="H4" s="324"/>
      <c r="I4" s="324"/>
      <c r="J4" s="323"/>
      <c r="K4" s="846"/>
      <c r="L4" s="323"/>
      <c r="M4" s="847"/>
    </row>
    <row r="5" spans="1:22" ht="13.5" customHeight="1">
      <c r="E5" s="320" t="s">
        <v>139</v>
      </c>
      <c r="F5" s="319" t="s">
        <v>139</v>
      </c>
      <c r="G5" s="319" t="s">
        <v>414</v>
      </c>
      <c r="H5" s="319" t="s">
        <v>17</v>
      </c>
      <c r="I5" s="319" t="s">
        <v>542</v>
      </c>
      <c r="J5" s="1423" t="str">
        <f>IF('KEY INPUTS'!C42="State Fiscal Year","Fiscal Year "&amp;'KEY INPUTS'!D33+1&amp;"",'KEY INPUTS'!D34+1)&amp;""</f>
        <v>2025</v>
      </c>
      <c r="K5" s="1424"/>
      <c r="L5" s="848"/>
      <c r="M5" s="849" t="s">
        <v>543</v>
      </c>
    </row>
    <row r="6" spans="1:22" ht="13.5" customHeight="1">
      <c r="C6" s="1352" t="s">
        <v>138</v>
      </c>
      <c r="D6" s="1427"/>
      <c r="E6" s="320" t="s">
        <v>414</v>
      </c>
      <c r="F6" s="319" t="s">
        <v>140</v>
      </c>
      <c r="G6" s="319" t="s">
        <v>539</v>
      </c>
      <c r="H6" s="319" t="s">
        <v>540</v>
      </c>
      <c r="I6" s="319" t="s">
        <v>540</v>
      </c>
      <c r="J6" s="1425"/>
      <c r="K6" s="1426"/>
      <c r="L6" s="850"/>
      <c r="M6" s="849" t="s">
        <v>546</v>
      </c>
    </row>
    <row r="7" spans="1:22" ht="13.5" customHeight="1">
      <c r="E7" s="320" t="s">
        <v>92</v>
      </c>
      <c r="F7" s="320" t="s">
        <v>141</v>
      </c>
      <c r="G7" s="320" t="s">
        <v>198</v>
      </c>
      <c r="H7" s="320" t="s">
        <v>541</v>
      </c>
      <c r="I7" s="320" t="s">
        <v>543</v>
      </c>
      <c r="J7" s="320" t="s">
        <v>113</v>
      </c>
      <c r="K7" s="320" t="s">
        <v>544</v>
      </c>
      <c r="L7" s="319"/>
      <c r="M7" s="849" t="s">
        <v>547</v>
      </c>
    </row>
    <row r="8" spans="1:22" ht="13.5" customHeight="1" thickBot="1">
      <c r="B8" s="318"/>
      <c r="C8" s="318"/>
      <c r="D8" s="318"/>
      <c r="E8" s="316"/>
      <c r="F8" s="316"/>
      <c r="G8" s="605" t="str">
        <f>IF('KEY INPUTS'!C42 = "State Fiscal Year", 'KEY INPUTS'!F47,'KEY INPUTS'!D47)</f>
        <v>Dec. 31, 2024</v>
      </c>
      <c r="H8" s="316"/>
      <c r="I8" s="316"/>
      <c r="J8" s="317"/>
      <c r="K8" s="402"/>
      <c r="L8" s="851"/>
      <c r="M8" s="852"/>
      <c r="P8"/>
      <c r="Q8"/>
      <c r="R8"/>
      <c r="S8"/>
      <c r="T8"/>
      <c r="U8"/>
      <c r="V8"/>
    </row>
    <row r="9" spans="1:22" ht="21" customHeight="1" thickTop="1">
      <c r="B9" s="399" t="s">
        <v>292</v>
      </c>
      <c r="C9" s="518"/>
      <c r="D9" s="520"/>
      <c r="E9" s="466"/>
      <c r="F9" s="521"/>
      <c r="G9" s="466"/>
      <c r="H9" s="522"/>
      <c r="I9" s="468"/>
      <c r="J9" s="466"/>
      <c r="K9" s="466"/>
      <c r="L9" s="477"/>
      <c r="M9" s="523"/>
      <c r="P9"/>
      <c r="Q9"/>
      <c r="R9"/>
      <c r="S9"/>
      <c r="T9"/>
      <c r="U9"/>
      <c r="V9"/>
    </row>
    <row r="10" spans="1:22" ht="21" customHeight="1">
      <c r="B10" s="398" t="s">
        <v>293</v>
      </c>
      <c r="C10" s="524"/>
      <c r="D10" s="499"/>
      <c r="E10" s="450"/>
      <c r="F10" s="525"/>
      <c r="G10" s="450"/>
      <c r="H10" s="450"/>
      <c r="I10" s="526"/>
      <c r="J10" s="527"/>
      <c r="K10" s="450"/>
      <c r="L10" s="479"/>
      <c r="M10" s="528"/>
      <c r="N10" s="267" t="s">
        <v>3131</v>
      </c>
      <c r="O10" s="267" t="s">
        <v>3131</v>
      </c>
      <c r="P10" s="294"/>
      <c r="Q10"/>
      <c r="R10"/>
      <c r="S10"/>
      <c r="T10"/>
      <c r="U10"/>
      <c r="V10"/>
    </row>
    <row r="11" spans="1:22" ht="21" customHeight="1">
      <c r="B11" s="398" t="s">
        <v>294</v>
      </c>
      <c r="C11" s="495"/>
      <c r="D11" s="499"/>
      <c r="E11" s="450"/>
      <c r="F11" s="529"/>
      <c r="G11" s="450"/>
      <c r="H11" s="450"/>
      <c r="I11" s="471"/>
      <c r="J11" s="450"/>
      <c r="K11" s="450"/>
      <c r="L11" s="479"/>
      <c r="M11" s="528"/>
      <c r="P11"/>
      <c r="Q11"/>
      <c r="R11"/>
      <c r="S11"/>
      <c r="T11"/>
      <c r="U11"/>
      <c r="V11"/>
    </row>
    <row r="12" spans="1:22" ht="21" customHeight="1">
      <c r="B12" s="398" t="s">
        <v>295</v>
      </c>
      <c r="C12" s="495"/>
      <c r="D12" s="499"/>
      <c r="E12" s="450"/>
      <c r="F12" s="529"/>
      <c r="G12" s="450"/>
      <c r="H12" s="450"/>
      <c r="I12" s="471"/>
      <c r="J12" s="450"/>
      <c r="K12" s="450"/>
      <c r="L12" s="479"/>
      <c r="M12" s="528"/>
      <c r="P12"/>
      <c r="Q12"/>
      <c r="R12"/>
      <c r="S12"/>
      <c r="T12"/>
      <c r="U12"/>
      <c r="V12"/>
    </row>
    <row r="13" spans="1:22" ht="21" customHeight="1">
      <c r="B13" s="398" t="s">
        <v>296</v>
      </c>
      <c r="C13" s="495"/>
      <c r="D13" s="499"/>
      <c r="E13" s="450"/>
      <c r="F13" s="529"/>
      <c r="G13" s="450"/>
      <c r="H13" s="450"/>
      <c r="I13" s="471"/>
      <c r="J13" s="450"/>
      <c r="K13" s="450"/>
      <c r="L13" s="479"/>
      <c r="M13" s="528"/>
      <c r="P13"/>
      <c r="Q13"/>
      <c r="R13"/>
      <c r="S13"/>
      <c r="T13"/>
      <c r="U13"/>
      <c r="V13"/>
    </row>
    <row r="14" spans="1:22" ht="21" customHeight="1">
      <c r="B14" s="398" t="s">
        <v>297</v>
      </c>
      <c r="C14" s="495"/>
      <c r="D14" s="499"/>
      <c r="E14" s="453"/>
      <c r="F14" s="530"/>
      <c r="G14" s="453"/>
      <c r="H14" s="453"/>
      <c r="I14" s="474"/>
      <c r="J14" s="450"/>
      <c r="K14" s="450"/>
      <c r="L14" s="479"/>
      <c r="M14" s="528"/>
      <c r="P14"/>
      <c r="Q14"/>
      <c r="R14"/>
      <c r="S14"/>
      <c r="T14"/>
      <c r="U14"/>
      <c r="V14"/>
    </row>
    <row r="15" spans="1:22" ht="21" customHeight="1">
      <c r="A15" s="1367" t="s">
        <v>3167</v>
      </c>
      <c r="B15" s="398" t="s">
        <v>298</v>
      </c>
      <c r="C15" s="531"/>
      <c r="D15" s="532"/>
      <c r="E15" s="450"/>
      <c r="F15" s="529"/>
      <c r="G15" s="450"/>
      <c r="H15" s="450"/>
      <c r="I15" s="471"/>
      <c r="J15" s="450"/>
      <c r="K15" s="450"/>
      <c r="L15" s="479"/>
      <c r="M15" s="528"/>
      <c r="P15"/>
      <c r="Q15"/>
      <c r="R15"/>
      <c r="S15"/>
      <c r="T15"/>
      <c r="U15"/>
      <c r="V15"/>
    </row>
    <row r="16" spans="1:22" ht="21" customHeight="1">
      <c r="A16" s="1367"/>
      <c r="B16" s="398" t="s">
        <v>384</v>
      </c>
      <c r="C16" s="495"/>
      <c r="D16" s="499"/>
      <c r="E16" s="450"/>
      <c r="F16" s="529"/>
      <c r="G16" s="450"/>
      <c r="H16" s="450"/>
      <c r="I16" s="471"/>
      <c r="J16" s="450"/>
      <c r="K16" s="450"/>
      <c r="L16" s="479"/>
      <c r="M16" s="528"/>
      <c r="P16"/>
      <c r="Q16"/>
      <c r="R16"/>
      <c r="S16"/>
      <c r="T16"/>
      <c r="U16"/>
      <c r="V16"/>
    </row>
    <row r="17" spans="1:22" ht="21" customHeight="1">
      <c r="A17" s="1367"/>
      <c r="B17" s="398" t="s">
        <v>385</v>
      </c>
      <c r="C17" s="495"/>
      <c r="D17" s="499"/>
      <c r="E17" s="450"/>
      <c r="F17" s="529"/>
      <c r="G17" s="450"/>
      <c r="H17" s="450"/>
      <c r="I17" s="471"/>
      <c r="J17" s="450"/>
      <c r="K17" s="450"/>
      <c r="L17" s="479"/>
      <c r="M17" s="528"/>
      <c r="P17"/>
      <c r="Q17"/>
      <c r="R17"/>
      <c r="S17"/>
      <c r="T17"/>
      <c r="U17"/>
      <c r="V17"/>
    </row>
    <row r="18" spans="1:22" ht="21" customHeight="1">
      <c r="A18" s="397"/>
      <c r="B18" s="538" t="s">
        <v>786</v>
      </c>
      <c r="C18" s="248"/>
      <c r="D18" s="312"/>
      <c r="E18" s="533">
        <f>SUM(E9:E17)+'50-Utility3'!E18</f>
        <v>0</v>
      </c>
      <c r="F18" s="534"/>
      <c r="G18" s="533">
        <f>SUM(G9:G17)+'50-Utility3'!G18</f>
        <v>0</v>
      </c>
      <c r="H18" s="533"/>
      <c r="I18" s="535"/>
      <c r="J18" s="533">
        <f>SUM(J9:J17)+'50-Utility3'!J18</f>
        <v>0</v>
      </c>
      <c r="K18" s="533">
        <f>SUM(K9:K17)+'50-Utility3'!K18</f>
        <v>0</v>
      </c>
      <c r="L18" s="536"/>
      <c r="M18" s="537"/>
      <c r="P18"/>
      <c r="Q18"/>
      <c r="R18"/>
      <c r="S18"/>
      <c r="T18"/>
      <c r="U18"/>
      <c r="V18"/>
    </row>
    <row r="19" spans="1:22" ht="21" customHeight="1">
      <c r="A19" s="397"/>
      <c r="B19" s="368"/>
      <c r="E19" s="908"/>
      <c r="G19" s="908"/>
      <c r="H19" s="908"/>
      <c r="I19" s="909"/>
      <c r="J19" s="908"/>
      <c r="K19" s="908"/>
      <c r="L19" s="908"/>
      <c r="P19"/>
      <c r="Q19"/>
      <c r="R19"/>
      <c r="S19"/>
      <c r="T19"/>
      <c r="U19"/>
      <c r="V19"/>
    </row>
    <row r="20" spans="1:22" ht="21" customHeight="1">
      <c r="A20" s="397"/>
      <c r="B20" s="368"/>
      <c r="E20" s="908"/>
      <c r="G20" s="908"/>
      <c r="H20" s="908"/>
      <c r="I20" s="909"/>
      <c r="J20" s="908"/>
      <c r="K20" s="908"/>
      <c r="L20" s="908"/>
      <c r="P20"/>
      <c r="Q20"/>
      <c r="R20"/>
      <c r="S20"/>
      <c r="T20"/>
      <c r="U20"/>
      <c r="V20"/>
    </row>
    <row r="21" spans="1:22" ht="13.5" customHeight="1" thickBot="1">
      <c r="B21" s="394"/>
      <c r="C21" s="309"/>
      <c r="D21" s="393"/>
      <c r="J21" s="385"/>
      <c r="P21"/>
      <c r="Q21"/>
      <c r="R21"/>
      <c r="S21"/>
      <c r="T21"/>
      <c r="U21"/>
      <c r="V21"/>
    </row>
    <row r="22" spans="1:22" ht="14.4" thickTop="1" thickBot="1">
      <c r="B22" s="361" t="s">
        <v>40</v>
      </c>
      <c r="C22" s="385"/>
      <c r="D22" s="392"/>
      <c r="E22" s="385"/>
      <c r="I22" s="1428" t="str">
        <f>"INTEREST  ON  NOTES  -  "&amp;UPPER('KEY INPUTS'!D56)&amp;" UTILITY  BUDGET"</f>
        <v>INTEREST  ON  NOTES  -   UTILITY  BUDGET</v>
      </c>
      <c r="J22" s="1429"/>
      <c r="K22" s="1429"/>
      <c r="L22" s="1429"/>
      <c r="M22" s="1430"/>
      <c r="P22"/>
      <c r="Q22"/>
      <c r="R22"/>
      <c r="S22"/>
      <c r="T22"/>
      <c r="U22"/>
      <c r="V22"/>
    </row>
    <row r="23" spans="1:22" ht="15.6" customHeight="1">
      <c r="B23" s="386" t="s">
        <v>41</v>
      </c>
      <c r="C23" s="386"/>
      <c r="D23" s="361" t="s">
        <v>3577</v>
      </c>
      <c r="E23" s="385"/>
      <c r="I23" s="391" t="str">
        <f>IF('KEY INPUTS'!C42="State Fiscal Year","Fiscal Year "&amp;'KEY INPUTS'!D33+1&amp;"",'KEY INPUTS'!D34+1)&amp;" Interest on Notes"</f>
        <v>2025 Interest on Notes</v>
      </c>
      <c r="J23" s="357"/>
      <c r="K23" s="357"/>
      <c r="L23" s="390" t="s">
        <v>373</v>
      </c>
      <c r="M23" s="843">
        <f>K18</f>
        <v>0</v>
      </c>
      <c r="P23"/>
      <c r="Q23"/>
      <c r="R23"/>
      <c r="S23"/>
      <c r="T23"/>
      <c r="U23"/>
      <c r="V23"/>
    </row>
    <row r="24" spans="1:22" ht="15.6" customHeight="1">
      <c r="B24" s="361"/>
      <c r="C24" s="361"/>
      <c r="D24" s="386" t="s">
        <v>42</v>
      </c>
      <c r="E24" s="385"/>
      <c r="I24" s="376" t="str">
        <f>"Less: Interest Accrued to "&amp;IF('KEY INPUTS'!C42="State Fiscal Year",(TEXT('KEY INPUTS'!F29,"mm/dd/yyy")),(TEXT('KEY INPUTS'!D29,"mm/dd/yyy")))&amp;" (Trial Balance)"</f>
        <v>Less: Interest Accrued to 12/31/2024 (Trial Balance)</v>
      </c>
      <c r="J24" s="248"/>
      <c r="K24" s="248"/>
      <c r="L24" s="389" t="s">
        <v>373</v>
      </c>
      <c r="M24" s="517"/>
      <c r="P24"/>
      <c r="Q24"/>
      <c r="R24"/>
      <c r="S24"/>
      <c r="T24"/>
      <c r="U24"/>
      <c r="V24"/>
    </row>
    <row r="25" spans="1:22" ht="15.6" customHeight="1">
      <c r="B25" s="361"/>
      <c r="C25" s="361"/>
      <c r="D25" s="361" t="s">
        <v>43</v>
      </c>
      <c r="E25" s="385"/>
      <c r="I25" s="376"/>
      <c r="J25" s="248" t="s">
        <v>317</v>
      </c>
      <c r="K25" s="248"/>
      <c r="L25" s="389" t="s">
        <v>373</v>
      </c>
      <c r="M25" s="844">
        <f>+M23-M24</f>
        <v>0</v>
      </c>
    </row>
    <row r="26" spans="1:22" ht="15.6" customHeight="1">
      <c r="B26" s="361"/>
      <c r="C26" s="361"/>
      <c r="D26" s="361" t="str">
        <f>"All notes with an original date of issue of "&amp;IF('KEY INPUTS'!C42="State Fiscal Year","FY "&amp;'KEY INPUTS'!D33-2&amp;"",'KEY INPUTS'!D34-2)&amp;" or prior require one legally payable installment to be budgeted if"</f>
        <v>All notes with an original date of issue of 2022 or prior require one legally payable installment to be budgeted if</v>
      </c>
      <c r="E26" s="385"/>
      <c r="I26" s="376" t="str">
        <f>"Add: Interest to be Accrued as of "&amp;IF('KEY INPUTS'!C42="State Fiscal Year",(TEXT('KEY INPUTS'!F30,"mm/dd/yyy")),(TEXT('KEY INPUTS'!D30,"mm/dd/yyy")))&amp;""</f>
        <v>Add: Interest to be Accrued as of 12/31/2025</v>
      </c>
      <c r="J26" s="248"/>
      <c r="K26" s="248"/>
      <c r="L26" s="389" t="s">
        <v>373</v>
      </c>
      <c r="M26" s="517"/>
    </row>
    <row r="27" spans="1:22" ht="15.6" customHeight="1" thickBot="1">
      <c r="B27" s="361"/>
      <c r="C27" s="361"/>
      <c r="D27" s="361" t="str">
        <f>"it is contemplated that such notes will be renewed in "&amp;IF('KEY INPUTS'!C42="State Fiscal Year","FY "&amp;'KEY INPUTS'!D33+1&amp;"",'KEY INPUTS'!D34+1)&amp;" or written intent of permanent financing submitted."</f>
        <v>it is contemplated that such notes will be renewed in 2025 or written intent of permanent financing submitted.</v>
      </c>
      <c r="E27" s="385"/>
      <c r="I27" s="315" t="str">
        <f>"Required Appropriation "&amp;IF('KEY INPUTS'!C42="State Fiscal Year","Fiscal Year "&amp;'KEY INPUTS'!D33+1&amp;"",'KEY INPUTS'!D34+1)&amp;""</f>
        <v>Required Appropriation 2025</v>
      </c>
      <c r="J27" s="318"/>
      <c r="K27" s="318"/>
      <c r="L27" s="388" t="s">
        <v>373</v>
      </c>
      <c r="M27" s="845">
        <f>+M25+M26</f>
        <v>0</v>
      </c>
    </row>
    <row r="28" spans="1:22" ht="13.8" thickTop="1">
      <c r="B28" s="361"/>
      <c r="C28" s="361"/>
      <c r="D28" s="361" t="s">
        <v>44</v>
      </c>
      <c r="E28" s="385"/>
    </row>
    <row r="29" spans="1:22">
      <c r="B29" s="385"/>
      <c r="C29" s="385"/>
      <c r="D29" s="386" t="s">
        <v>45</v>
      </c>
      <c r="E29" s="385"/>
    </row>
    <row r="30" spans="1:22">
      <c r="J30" s="385" t="s">
        <v>98</v>
      </c>
    </row>
  </sheetData>
  <sheetProtection algorithmName="SHA-512" hashValue="EeT6bx7Swvqq6KCWaCh8Yolg9fKDnUjcnBIrwMAzOdnDeEz5CWyAhF0bEAUJU6s5Ua5jPPM4hYUqAa5qE6s9jw==" saltValue="J80pxRb3giHGuQUEe+xFCA=="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68062-1C8C-408A-934F-4A02EC043592}">
  <sheetPr codeName="Sheet215">
    <tabColor theme="5" tint="0.59999389629810485"/>
  </sheetPr>
  <dimension ref="A2:T29"/>
  <sheetViews>
    <sheetView zoomScaleNormal="100" zoomScaleSheetLayoutView="80" workbookViewId="0">
      <selection activeCell="C27" sqref="C27"/>
    </sheetView>
  </sheetViews>
  <sheetFormatPr defaultColWidth="9.109375" defaultRowHeight="13.2"/>
  <cols>
    <col min="1" max="1" width="5.6640625" style="267" customWidth="1"/>
    <col min="2" max="3" width="4.88671875" style="267" customWidth="1"/>
    <col min="4" max="4" width="31.5546875" style="267" customWidth="1"/>
    <col min="5" max="12" width="15.6640625" style="267" customWidth="1"/>
    <col min="13" max="16384" width="9.109375" style="267"/>
  </cols>
  <sheetData>
    <row r="2" spans="1:20" ht="20.399999999999999">
      <c r="B2" s="1363" t="str">
        <f>"DEBT  SERVICE  SCHEDULE  FOR  "&amp;UPPER('KEY INPUTS'!D56) &amp;"  UTILITY  ASSESSMENT  NOTES"</f>
        <v>DEBT  SERVICE  SCHEDULE  FOR    UTILITY  ASSESSMENT  NOTES</v>
      </c>
      <c r="C2" s="1363"/>
      <c r="D2" s="1363"/>
      <c r="E2" s="1363"/>
      <c r="F2" s="1363"/>
      <c r="G2" s="1363"/>
      <c r="H2" s="1363"/>
      <c r="I2" s="1363"/>
      <c r="J2" s="1363"/>
      <c r="K2" s="1363"/>
      <c r="L2" s="1363"/>
    </row>
    <row r="3" spans="1:20" ht="21" thickBot="1">
      <c r="B3" s="1363"/>
      <c r="C3" s="1363"/>
      <c r="D3" s="1363"/>
      <c r="E3" s="1363"/>
      <c r="F3" s="1363"/>
      <c r="G3" s="1363"/>
      <c r="H3" s="1363"/>
      <c r="I3" s="1363"/>
      <c r="J3" s="1363"/>
      <c r="K3" s="1363"/>
      <c r="L3" s="1363"/>
    </row>
    <row r="4" spans="1:20" ht="13.5" customHeight="1" thickTop="1">
      <c r="B4" s="1433"/>
      <c r="C4" s="1433"/>
      <c r="D4" s="1434"/>
      <c r="E4" s="324"/>
      <c r="F4" s="324"/>
      <c r="G4" s="324"/>
      <c r="H4" s="324"/>
      <c r="I4" s="324"/>
      <c r="J4" s="323"/>
      <c r="K4" s="323"/>
      <c r="L4" s="322"/>
    </row>
    <row r="5" spans="1:20" ht="13.5" customHeight="1">
      <c r="E5" s="320" t="s">
        <v>139</v>
      </c>
      <c r="F5" s="319" t="s">
        <v>139</v>
      </c>
      <c r="G5" s="319" t="s">
        <v>414</v>
      </c>
      <c r="H5" s="319" t="s">
        <v>17</v>
      </c>
      <c r="I5" s="319" t="s">
        <v>542</v>
      </c>
      <c r="J5" s="1423" t="str">
        <f>IF('KEY INPUTS'!C42="State Fiscal Year","Fiscal Year "&amp;'KEY INPUTS'!D33+1&amp;"",'KEY INPUTS'!D34+1)&amp;""</f>
        <v>2025</v>
      </c>
      <c r="K5" s="1424"/>
      <c r="L5" s="321" t="s">
        <v>543</v>
      </c>
    </row>
    <row r="6" spans="1:20" ht="13.5" customHeight="1">
      <c r="C6" s="1352" t="s">
        <v>138</v>
      </c>
      <c r="D6" s="1427"/>
      <c r="E6" s="320" t="s">
        <v>414</v>
      </c>
      <c r="F6" s="319" t="s">
        <v>140</v>
      </c>
      <c r="G6" s="319" t="s">
        <v>539</v>
      </c>
      <c r="H6" s="319" t="s">
        <v>540</v>
      </c>
      <c r="I6" s="319" t="s">
        <v>540</v>
      </c>
      <c r="J6" s="1425"/>
      <c r="K6" s="1426"/>
      <c r="L6" s="321" t="s">
        <v>546</v>
      </c>
    </row>
    <row r="7" spans="1:20" ht="13.5" customHeight="1">
      <c r="E7" s="320" t="s">
        <v>92</v>
      </c>
      <c r="F7" s="320" t="s">
        <v>141</v>
      </c>
      <c r="G7" s="320" t="s">
        <v>198</v>
      </c>
      <c r="H7" s="320" t="s">
        <v>541</v>
      </c>
      <c r="I7" s="320" t="s">
        <v>543</v>
      </c>
      <c r="J7" s="320" t="s">
        <v>113</v>
      </c>
      <c r="K7" s="320" t="s">
        <v>544</v>
      </c>
      <c r="L7" s="321" t="s">
        <v>547</v>
      </c>
      <c r="N7"/>
      <c r="O7"/>
      <c r="P7"/>
      <c r="Q7"/>
      <c r="R7"/>
      <c r="S7"/>
      <c r="T7"/>
    </row>
    <row r="8" spans="1:20" ht="13.5" customHeight="1" thickBot="1">
      <c r="B8" s="318"/>
      <c r="C8" s="318"/>
      <c r="D8" s="318"/>
      <c r="E8" s="316"/>
      <c r="F8" s="316"/>
      <c r="G8" s="605" t="str">
        <f>IF('KEY INPUTS'!C42 = "State Fiscal Year", 'KEY INPUTS'!F47,'KEY INPUTS'!D47)</f>
        <v>Dec. 31, 2024</v>
      </c>
      <c r="H8" s="316"/>
      <c r="I8" s="316"/>
      <c r="J8" s="317"/>
      <c r="K8" s="402" t="s">
        <v>545</v>
      </c>
      <c r="L8" s="314"/>
      <c r="N8"/>
      <c r="O8"/>
      <c r="P8"/>
      <c r="Q8"/>
      <c r="R8"/>
      <c r="S8"/>
      <c r="T8"/>
    </row>
    <row r="9" spans="1:20" ht="21" customHeight="1" thickTop="1">
      <c r="B9" s="1435"/>
      <c r="C9" s="1435"/>
      <c r="D9" s="1436"/>
      <c r="E9" s="454"/>
      <c r="F9" s="539"/>
      <c r="G9" s="454"/>
      <c r="H9" s="454"/>
      <c r="I9" s="606"/>
      <c r="J9" s="454"/>
      <c r="K9" s="454"/>
      <c r="L9" s="540"/>
      <c r="N9" s="294"/>
      <c r="O9"/>
      <c r="P9"/>
      <c r="Q9"/>
      <c r="R9"/>
      <c r="S9"/>
      <c r="T9"/>
    </row>
    <row r="10" spans="1:20" ht="21" customHeight="1">
      <c r="B10" s="544"/>
      <c r="C10" s="544"/>
      <c r="D10" s="955"/>
      <c r="E10" s="450"/>
      <c r="F10" s="529"/>
      <c r="G10" s="450"/>
      <c r="H10" s="450"/>
      <c r="I10" s="471"/>
      <c r="J10" s="450"/>
      <c r="K10" s="450"/>
      <c r="L10" s="541"/>
      <c r="N10"/>
      <c r="O10"/>
      <c r="P10"/>
      <c r="Q10"/>
      <c r="R10"/>
      <c r="S10"/>
      <c r="T10"/>
    </row>
    <row r="11" spans="1:20" ht="21" customHeight="1">
      <c r="B11" s="544"/>
      <c r="C11" s="544"/>
      <c r="D11" s="955"/>
      <c r="E11" s="450"/>
      <c r="F11" s="529"/>
      <c r="G11" s="450"/>
      <c r="H11" s="450"/>
      <c r="I11" s="471"/>
      <c r="J11" s="450"/>
      <c r="K11" s="450"/>
      <c r="L11" s="541"/>
      <c r="N11"/>
      <c r="O11"/>
      <c r="P11"/>
      <c r="Q11"/>
      <c r="R11"/>
      <c r="S11"/>
      <c r="T11"/>
    </row>
    <row r="12" spans="1:20" ht="21" customHeight="1">
      <c r="B12" s="544"/>
      <c r="C12" s="544"/>
      <c r="D12" s="955"/>
      <c r="E12" s="450"/>
      <c r="F12" s="529"/>
      <c r="G12" s="450"/>
      <c r="H12" s="450"/>
      <c r="I12" s="471"/>
      <c r="J12" s="450"/>
      <c r="K12" s="450"/>
      <c r="L12" s="541"/>
      <c r="N12"/>
      <c r="O12"/>
      <c r="P12"/>
      <c r="Q12"/>
      <c r="R12"/>
      <c r="S12"/>
      <c r="T12"/>
    </row>
    <row r="13" spans="1:20" ht="21" customHeight="1">
      <c r="B13" s="544"/>
      <c r="C13" s="544"/>
      <c r="D13" s="955"/>
      <c r="E13" s="450"/>
      <c r="F13" s="529"/>
      <c r="G13" s="450"/>
      <c r="H13" s="450"/>
      <c r="I13" s="471"/>
      <c r="J13" s="450"/>
      <c r="K13" s="450"/>
      <c r="L13" s="541"/>
      <c r="N13"/>
      <c r="O13"/>
      <c r="P13"/>
      <c r="Q13"/>
      <c r="R13"/>
      <c r="S13"/>
      <c r="T13"/>
    </row>
    <row r="14" spans="1:20" ht="21" customHeight="1">
      <c r="B14" s="544"/>
      <c r="C14" s="544"/>
      <c r="D14" s="955"/>
      <c r="E14" s="453"/>
      <c r="F14" s="530"/>
      <c r="G14" s="453"/>
      <c r="H14" s="453"/>
      <c r="I14" s="474"/>
      <c r="J14" s="450"/>
      <c r="K14" s="450"/>
      <c r="L14" s="541"/>
      <c r="N14"/>
      <c r="O14"/>
      <c r="P14"/>
      <c r="Q14"/>
      <c r="R14"/>
      <c r="S14"/>
      <c r="T14"/>
    </row>
    <row r="15" spans="1:20" ht="21" customHeight="1">
      <c r="A15" s="1367" t="s">
        <v>3168</v>
      </c>
      <c r="B15" s="544"/>
      <c r="C15" s="544"/>
      <c r="D15" s="955"/>
      <c r="E15" s="450"/>
      <c r="F15" s="529"/>
      <c r="G15" s="450"/>
      <c r="H15" s="450"/>
      <c r="I15" s="471"/>
      <c r="J15" s="450"/>
      <c r="K15" s="450"/>
      <c r="L15" s="541"/>
      <c r="N15"/>
      <c r="O15"/>
      <c r="P15"/>
      <c r="Q15"/>
      <c r="R15"/>
      <c r="S15"/>
      <c r="T15"/>
    </row>
    <row r="16" spans="1:20" ht="21" customHeight="1">
      <c r="A16" s="1367"/>
      <c r="B16" s="544"/>
      <c r="C16" s="544"/>
      <c r="D16" s="955"/>
      <c r="E16" s="450"/>
      <c r="F16" s="529"/>
      <c r="G16" s="450"/>
      <c r="H16" s="450"/>
      <c r="I16" s="471"/>
      <c r="J16" s="450"/>
      <c r="K16" s="450"/>
      <c r="L16" s="541"/>
      <c r="N16"/>
      <c r="O16"/>
      <c r="P16"/>
      <c r="Q16"/>
      <c r="R16"/>
      <c r="S16"/>
      <c r="T16"/>
    </row>
    <row r="17" spans="1:20" ht="21" customHeight="1">
      <c r="A17" s="1367"/>
      <c r="B17" s="544"/>
      <c r="C17" s="544"/>
      <c r="D17" s="955"/>
      <c r="E17" s="450"/>
      <c r="F17" s="529"/>
      <c r="G17" s="450"/>
      <c r="H17" s="450"/>
      <c r="I17" s="471"/>
      <c r="J17" s="450"/>
      <c r="K17" s="450"/>
      <c r="L17" s="541"/>
      <c r="N17"/>
      <c r="O17"/>
      <c r="P17"/>
      <c r="Q17"/>
      <c r="R17"/>
      <c r="S17"/>
      <c r="T17"/>
    </row>
    <row r="18" spans="1:20" ht="21" customHeight="1">
      <c r="A18" s="397"/>
      <c r="B18" s="544"/>
      <c r="C18" s="544"/>
      <c r="D18" s="955"/>
      <c r="E18" s="450"/>
      <c r="F18" s="529"/>
      <c r="G18" s="450"/>
      <c r="H18" s="450"/>
      <c r="I18" s="471"/>
      <c r="J18" s="450"/>
      <c r="K18" s="450"/>
      <c r="L18" s="541"/>
      <c r="N18"/>
      <c r="O18"/>
      <c r="P18"/>
      <c r="Q18"/>
      <c r="R18"/>
      <c r="S18"/>
      <c r="T18"/>
    </row>
    <row r="19" spans="1:20" ht="21" customHeight="1">
      <c r="B19" s="544"/>
      <c r="C19" s="544"/>
      <c r="D19" s="955"/>
      <c r="E19" s="450"/>
      <c r="F19" s="529"/>
      <c r="G19" s="450"/>
      <c r="H19" s="450"/>
      <c r="I19" s="471"/>
      <c r="J19" s="450"/>
      <c r="K19" s="450"/>
      <c r="L19" s="541"/>
      <c r="N19"/>
      <c r="O19"/>
      <c r="P19"/>
      <c r="Q19"/>
      <c r="R19"/>
      <c r="S19"/>
      <c r="T19"/>
    </row>
    <row r="20" spans="1:20" ht="21" customHeight="1">
      <c r="B20" s="544"/>
      <c r="C20" s="544"/>
      <c r="D20" s="955"/>
      <c r="E20" s="450"/>
      <c r="F20" s="529"/>
      <c r="G20" s="450"/>
      <c r="H20" s="450"/>
      <c r="I20" s="471"/>
      <c r="J20" s="450"/>
      <c r="K20" s="450"/>
      <c r="L20" s="541"/>
      <c r="N20"/>
      <c r="O20"/>
      <c r="P20"/>
      <c r="Q20"/>
      <c r="R20"/>
      <c r="S20"/>
      <c r="T20"/>
    </row>
    <row r="21" spans="1:20" ht="21" customHeight="1">
      <c r="B21" s="544"/>
      <c r="C21" s="544"/>
      <c r="D21" s="955"/>
      <c r="E21" s="450"/>
      <c r="F21" s="529"/>
      <c r="G21" s="450"/>
      <c r="H21" s="450"/>
      <c r="I21" s="471"/>
      <c r="J21" s="450"/>
      <c r="K21" s="450"/>
      <c r="L21" s="541"/>
      <c r="N21"/>
      <c r="O21"/>
      <c r="P21"/>
      <c r="Q21"/>
      <c r="R21"/>
      <c r="S21"/>
      <c r="T21"/>
    </row>
    <row r="22" spans="1:20" ht="21" customHeight="1">
      <c r="B22" s="544"/>
      <c r="C22" s="544"/>
      <c r="D22" s="955"/>
      <c r="E22" s="450"/>
      <c r="F22" s="529"/>
      <c r="G22" s="450"/>
      <c r="H22" s="450"/>
      <c r="I22" s="471"/>
      <c r="J22" s="450"/>
      <c r="K22" s="450"/>
      <c r="L22" s="541"/>
      <c r="N22"/>
      <c r="O22"/>
      <c r="P22"/>
      <c r="Q22"/>
      <c r="R22"/>
      <c r="S22"/>
      <c r="T22"/>
    </row>
    <row r="23" spans="1:20" ht="21" customHeight="1" thickBot="1">
      <c r="B23" s="401"/>
      <c r="C23" s="920"/>
      <c r="D23" s="921"/>
      <c r="E23" s="910">
        <f>SUM(E9:E22)</f>
        <v>0</v>
      </c>
      <c r="F23" s="922"/>
      <c r="G23" s="910">
        <f>SUM(G9:G22)</f>
        <v>0</v>
      </c>
      <c r="H23" s="910"/>
      <c r="I23" s="910"/>
      <c r="J23" s="910">
        <f>SUM(J9:J22)</f>
        <v>0</v>
      </c>
      <c r="K23" s="910">
        <f>SUM(K9:K22)</f>
        <v>0</v>
      </c>
      <c r="L23" s="923"/>
      <c r="N23"/>
      <c r="O23"/>
      <c r="P23"/>
      <c r="Q23"/>
      <c r="R23"/>
      <c r="S23"/>
      <c r="T23"/>
    </row>
    <row r="24" spans="1:20" ht="13.5" customHeight="1" thickTop="1">
      <c r="B24" s="856" t="s">
        <v>40</v>
      </c>
      <c r="C24" s="392"/>
      <c r="D24" s="857"/>
      <c r="J24" s="347"/>
      <c r="K24" s="347"/>
    </row>
    <row r="25" spans="1:20" ht="13.5" customHeight="1">
      <c r="B25" s="856" t="s">
        <v>549</v>
      </c>
      <c r="C25" s="392"/>
      <c r="D25" s="857"/>
    </row>
    <row r="26" spans="1:20" ht="13.5" customHeight="1">
      <c r="B26" s="856"/>
      <c r="C26" s="392" t="str">
        <f>"Utility Assessment Notes with an original date of issue of "&amp;IF('KEY INPUTS'!C42="State Fiscal Year","June 30, "&amp;'KEY INPUTS'!D33-2&amp;"","December 31, "&amp;'KEY INPUTS'!D34-2&amp;"")&amp;" or prior must be appropriated in full in the "&amp;IF('KEY INPUTS'!C42="State Fiscal Year","FY "&amp;'KEY INPUTS'!D33+1&amp;"",'KEY INPUTS'!D33+1)&amp;" Dedicated Utility Assessment Budget or written intent of"</f>
        <v>Utility Assessment Notes with an original date of issue of December 31, 2022 or prior must be appropriated in full in the 2026 Dedicated Utility Assessment Budget or written intent of</v>
      </c>
      <c r="D26" s="857"/>
    </row>
    <row r="27" spans="1:20" ht="13.5" customHeight="1">
      <c r="B27" s="856"/>
      <c r="C27" s="392"/>
      <c r="D27" s="858" t="s">
        <v>502</v>
      </c>
    </row>
    <row r="28" spans="1:20" ht="13.5" customHeight="1">
      <c r="B28" s="856"/>
      <c r="C28" s="392" t="s">
        <v>302</v>
      </c>
      <c r="D28" s="857"/>
      <c r="J28" s="385"/>
    </row>
    <row r="29" spans="1:20">
      <c r="B29" s="400"/>
      <c r="C29" s="309"/>
      <c r="D29" s="309"/>
    </row>
  </sheetData>
  <sheetProtection algorithmName="SHA-512" hashValue="ppaGuF3cdd9xEnDKgTvC4CsgKBbnfTOWjMEl+ltGjkK6tPNY4HBxHBCa+rfZShoWXMq4mjBUzCxpn6Tm82ouFw==" saltValue="4rqc5m++zhiom1hU/bnzMw==" spinCount="100000" sheet="1" objects="1" scenarios="1"/>
  <mergeCells count="7">
    <mergeCell ref="B9:D9"/>
    <mergeCell ref="A15:A17"/>
    <mergeCell ref="B2:L2"/>
    <mergeCell ref="B3:L3"/>
    <mergeCell ref="B4:D4"/>
    <mergeCell ref="J5:K6"/>
    <mergeCell ref="C6:D6"/>
  </mergeCells>
  <pageMargins left="0.25" right="0.25" top="0.5" bottom="0.5" header="0.25" footer="0.25"/>
  <pageSetup paperSize="5" orientation="landscape" r:id="rId1"/>
  <headerFooter alignWithMargins="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557BD-A55F-45AE-818D-7EEAF9C17A03}">
  <sheetPr codeName="Sheet216">
    <tabColor theme="5" tint="0.59999389629810485"/>
  </sheetPr>
  <dimension ref="A2:R27"/>
  <sheetViews>
    <sheetView zoomScaleNormal="100" zoomScaleSheetLayoutView="80" workbookViewId="0">
      <selection activeCell="H7" sqref="H7"/>
    </sheetView>
  </sheetViews>
  <sheetFormatPr defaultColWidth="9.109375" defaultRowHeight="13.2"/>
  <cols>
    <col min="1" max="1" width="5.6640625" style="267" customWidth="1"/>
    <col min="2" max="3" width="4.88671875" style="267" customWidth="1"/>
    <col min="4" max="4" width="35.88671875" style="267" customWidth="1"/>
    <col min="5" max="6" width="15.6640625" style="267" customWidth="1"/>
    <col min="7" max="9" width="30.6640625" style="267" customWidth="1"/>
    <col min="10" max="16384" width="9.109375" style="267"/>
  </cols>
  <sheetData>
    <row r="2" spans="1:18" ht="20.399999999999999">
      <c r="B2" s="1363" t="str">
        <f>"SCHEDULE  OF  CAPITAL  LEASE  PROGRAM  OBLIGATIONS "&amp;UPPER('KEY INPUTS'!D56)&amp;"  UTILITY"</f>
        <v>SCHEDULE  OF  CAPITAL  LEASE  PROGRAM  OBLIGATIONS   UTILITY</v>
      </c>
      <c r="C2" s="1363"/>
      <c r="D2" s="1363"/>
      <c r="E2" s="1363"/>
      <c r="F2" s="1363"/>
      <c r="G2" s="1363"/>
      <c r="H2" s="1363"/>
      <c r="I2" s="1363"/>
    </row>
    <row r="3" spans="1:18" ht="21" thickBot="1">
      <c r="B3" s="1363"/>
      <c r="C3" s="1363"/>
      <c r="D3" s="1363"/>
      <c r="E3" s="1363"/>
      <c r="F3" s="1363"/>
      <c r="G3" s="1363"/>
      <c r="H3" s="1363"/>
      <c r="I3" s="1363"/>
    </row>
    <row r="4" spans="1:18" ht="13.5" customHeight="1" thickTop="1">
      <c r="B4" s="1433"/>
      <c r="C4" s="1433"/>
      <c r="D4" s="1433"/>
      <c r="E4" s="1433"/>
      <c r="F4" s="1434"/>
      <c r="G4" s="859"/>
      <c r="H4" s="323"/>
      <c r="I4" s="847"/>
    </row>
    <row r="5" spans="1:18" ht="13.5" customHeight="1">
      <c r="E5" s="302"/>
      <c r="F5" s="302"/>
      <c r="G5" s="319" t="s">
        <v>414</v>
      </c>
      <c r="H5" s="1423" t="str">
        <f>IF('KEY INPUTS'!C42="State Fiscal Year","Fiscal Year "&amp;'KEY INPUTS'!D33+1&amp;"",'KEY INPUTS'!D34+1)&amp;" Budget Requirements"</f>
        <v>2025 Budget Requirements</v>
      </c>
      <c r="I5" s="1437"/>
      <c r="J5" s="592"/>
    </row>
    <row r="6" spans="1:18" ht="13.5" customHeight="1">
      <c r="C6" s="1352" t="s">
        <v>413</v>
      </c>
      <c r="D6" s="1352"/>
      <c r="E6" s="302"/>
      <c r="F6" s="302"/>
      <c r="G6" s="319" t="s">
        <v>430</v>
      </c>
      <c r="H6" s="1438"/>
      <c r="I6" s="1439"/>
      <c r="J6" s="592"/>
    </row>
    <row r="7" spans="1:18" ht="13.5" customHeight="1">
      <c r="E7" s="302"/>
      <c r="F7" s="860"/>
      <c r="G7" s="861" t="str">
        <f>IF('KEY INPUTS'!C42 = "State Fiscal Year", 'KEY INPUTS'!F47,'KEY INPUTS'!D47)</f>
        <v>Dec. 31, 2024</v>
      </c>
      <c r="H7" s="320" t="s">
        <v>3170</v>
      </c>
      <c r="I7" s="321" t="s">
        <v>431</v>
      </c>
      <c r="L7"/>
      <c r="M7"/>
      <c r="N7"/>
      <c r="O7"/>
      <c r="P7"/>
      <c r="Q7"/>
      <c r="R7"/>
    </row>
    <row r="8" spans="1:18" ht="13.5" customHeight="1" thickBot="1">
      <c r="B8" s="318"/>
      <c r="C8" s="318"/>
      <c r="D8" s="318"/>
      <c r="E8" s="318"/>
      <c r="F8" s="404"/>
      <c r="G8" s="862"/>
      <c r="H8" s="317"/>
      <c r="I8" s="863"/>
      <c r="L8"/>
      <c r="M8"/>
      <c r="N8"/>
      <c r="O8"/>
      <c r="P8"/>
      <c r="Q8"/>
      <c r="R8"/>
    </row>
    <row r="9" spans="1:18" ht="21" customHeight="1" thickTop="1">
      <c r="B9" s="1435"/>
      <c r="C9" s="1435"/>
      <c r="D9" s="1435"/>
      <c r="E9" s="1435"/>
      <c r="F9" s="1436"/>
      <c r="G9" s="607"/>
      <c r="H9" s="454"/>
      <c r="I9" s="608"/>
      <c r="L9" s="294"/>
      <c r="M9"/>
      <c r="N9"/>
      <c r="O9"/>
      <c r="P9"/>
      <c r="Q9"/>
      <c r="R9"/>
    </row>
    <row r="10" spans="1:18" ht="21" customHeight="1">
      <c r="B10" s="1431"/>
      <c r="C10" s="1431"/>
      <c r="D10" s="1431"/>
      <c r="E10" s="1431"/>
      <c r="F10" s="1432"/>
      <c r="G10" s="479"/>
      <c r="H10" s="450"/>
      <c r="I10" s="451"/>
      <c r="L10"/>
      <c r="M10"/>
      <c r="N10"/>
      <c r="O10"/>
      <c r="P10"/>
      <c r="Q10"/>
      <c r="R10"/>
    </row>
    <row r="11" spans="1:18" ht="21" customHeight="1">
      <c r="B11" s="1431"/>
      <c r="C11" s="1431"/>
      <c r="D11" s="1431"/>
      <c r="E11" s="1431"/>
      <c r="F11" s="1432"/>
      <c r="G11" s="479"/>
      <c r="H11" s="450"/>
      <c r="I11" s="451"/>
      <c r="L11"/>
      <c r="M11"/>
      <c r="N11"/>
      <c r="O11"/>
      <c r="P11"/>
      <c r="Q11"/>
      <c r="R11"/>
    </row>
    <row r="12" spans="1:18" ht="21" customHeight="1">
      <c r="B12" s="1431"/>
      <c r="C12" s="1431"/>
      <c r="D12" s="1431"/>
      <c r="E12" s="1431"/>
      <c r="F12" s="1432"/>
      <c r="G12" s="479"/>
      <c r="H12" s="450"/>
      <c r="I12" s="451"/>
      <c r="L12"/>
      <c r="M12"/>
      <c r="N12"/>
      <c r="O12"/>
      <c r="P12"/>
      <c r="Q12"/>
      <c r="R12"/>
    </row>
    <row r="13" spans="1:18" ht="21" customHeight="1">
      <c r="B13" s="1431"/>
      <c r="C13" s="1431"/>
      <c r="D13" s="1431"/>
      <c r="E13" s="1431"/>
      <c r="F13" s="1432"/>
      <c r="G13" s="479"/>
      <c r="H13" s="450"/>
      <c r="I13" s="451"/>
      <c r="L13"/>
      <c r="M13"/>
      <c r="N13"/>
      <c r="O13"/>
      <c r="P13"/>
      <c r="Q13"/>
      <c r="R13"/>
    </row>
    <row r="14" spans="1:18" ht="21" customHeight="1">
      <c r="B14" s="1431"/>
      <c r="C14" s="1431"/>
      <c r="D14" s="1431"/>
      <c r="E14" s="1431"/>
      <c r="F14" s="1432"/>
      <c r="G14" s="480"/>
      <c r="H14" s="450"/>
      <c r="I14" s="451"/>
      <c r="L14"/>
      <c r="M14"/>
      <c r="N14"/>
      <c r="O14"/>
      <c r="P14"/>
      <c r="Q14"/>
      <c r="R14"/>
    </row>
    <row r="15" spans="1:18" ht="21" customHeight="1">
      <c r="A15" s="1367" t="s">
        <v>3169</v>
      </c>
      <c r="B15" s="1431"/>
      <c r="C15" s="1431"/>
      <c r="D15" s="1431"/>
      <c r="E15" s="1431"/>
      <c r="F15" s="1432"/>
      <c r="G15" s="479"/>
      <c r="H15" s="450"/>
      <c r="I15" s="451"/>
      <c r="L15"/>
      <c r="M15"/>
      <c r="N15"/>
      <c r="O15"/>
      <c r="P15"/>
      <c r="Q15"/>
      <c r="R15"/>
    </row>
    <row r="16" spans="1:18" ht="21" customHeight="1">
      <c r="A16" s="1367"/>
      <c r="B16" s="1431"/>
      <c r="C16" s="1431"/>
      <c r="D16" s="1431"/>
      <c r="E16" s="1431"/>
      <c r="F16" s="1432"/>
      <c r="G16" s="479"/>
      <c r="H16" s="450"/>
      <c r="I16" s="451"/>
      <c r="L16"/>
      <c r="M16"/>
      <c r="N16"/>
      <c r="O16"/>
      <c r="P16"/>
      <c r="Q16"/>
      <c r="R16"/>
    </row>
    <row r="17" spans="1:18" ht="21" customHeight="1">
      <c r="A17" s="1367"/>
      <c r="B17" s="1431"/>
      <c r="C17" s="1431"/>
      <c r="D17" s="1431"/>
      <c r="E17" s="1431"/>
      <c r="F17" s="1432"/>
      <c r="G17" s="479"/>
      <c r="H17" s="450"/>
      <c r="I17" s="451"/>
      <c r="L17"/>
      <c r="M17"/>
      <c r="N17"/>
      <c r="O17"/>
      <c r="P17"/>
      <c r="Q17"/>
      <c r="R17"/>
    </row>
    <row r="18" spans="1:18" ht="21" customHeight="1">
      <c r="A18" s="397"/>
      <c r="B18" s="1431"/>
      <c r="C18" s="1431"/>
      <c r="D18" s="1431"/>
      <c r="E18" s="1431"/>
      <c r="F18" s="1432"/>
      <c r="G18" s="479"/>
      <c r="H18" s="450"/>
      <c r="I18" s="451"/>
      <c r="L18"/>
      <c r="M18"/>
      <c r="N18"/>
      <c r="O18"/>
      <c r="P18"/>
      <c r="Q18"/>
      <c r="R18"/>
    </row>
    <row r="19" spans="1:18" ht="21" customHeight="1">
      <c r="B19" s="1431"/>
      <c r="C19" s="1431"/>
      <c r="D19" s="1431"/>
      <c r="E19" s="1431"/>
      <c r="F19" s="1432"/>
      <c r="G19" s="479"/>
      <c r="H19" s="450"/>
      <c r="I19" s="451"/>
      <c r="L19"/>
      <c r="M19"/>
      <c r="N19"/>
      <c r="O19"/>
      <c r="P19"/>
      <c r="Q19"/>
      <c r="R19"/>
    </row>
    <row r="20" spans="1:18" ht="21" customHeight="1">
      <c r="B20" s="1431"/>
      <c r="C20" s="1431"/>
      <c r="D20" s="1431"/>
      <c r="E20" s="1431"/>
      <c r="F20" s="1432"/>
      <c r="G20" s="479"/>
      <c r="H20" s="450"/>
      <c r="I20" s="451"/>
      <c r="L20"/>
      <c r="M20"/>
      <c r="N20"/>
      <c r="O20"/>
      <c r="P20"/>
      <c r="Q20"/>
      <c r="R20"/>
    </row>
    <row r="21" spans="1:18" ht="21" customHeight="1">
      <c r="B21" s="1431"/>
      <c r="C21" s="1431"/>
      <c r="D21" s="1431"/>
      <c r="E21" s="1431"/>
      <c r="F21" s="1432"/>
      <c r="G21" s="479"/>
      <c r="H21" s="450"/>
      <c r="I21" s="451"/>
      <c r="L21"/>
      <c r="M21"/>
      <c r="N21"/>
      <c r="O21"/>
      <c r="P21"/>
      <c r="Q21"/>
      <c r="R21"/>
    </row>
    <row r="22" spans="1:18" ht="21" customHeight="1" thickBot="1">
      <c r="B22" s="1431"/>
      <c r="C22" s="1431"/>
      <c r="D22" s="1431"/>
      <c r="E22" s="1431"/>
      <c r="F22" s="1432"/>
      <c r="G22" s="481"/>
      <c r="H22" s="475"/>
      <c r="I22" s="482"/>
      <c r="L22"/>
      <c r="M22"/>
      <c r="N22"/>
      <c r="O22"/>
      <c r="P22"/>
      <c r="Q22"/>
      <c r="R22"/>
    </row>
    <row r="23" spans="1:18" ht="21" customHeight="1" thickTop="1" thickBot="1">
      <c r="B23" s="401"/>
      <c r="C23" s="311"/>
      <c r="D23" s="405" t="s">
        <v>137</v>
      </c>
      <c r="E23" s="746"/>
      <c r="F23" s="404"/>
      <c r="G23" s="911">
        <f>SUM(G9:G22)</f>
        <v>0</v>
      </c>
      <c r="H23" s="755">
        <f>SUM(H9:H22)</f>
        <v>0</v>
      </c>
      <c r="I23" s="797">
        <f>SUM(I9:I22)</f>
        <v>0</v>
      </c>
      <c r="L23"/>
      <c r="M23"/>
      <c r="N23"/>
      <c r="O23"/>
      <c r="P23"/>
      <c r="Q23"/>
      <c r="R23"/>
    </row>
    <row r="24" spans="1:18" ht="13.5" customHeight="1" thickTop="1">
      <c r="B24" s="403"/>
      <c r="C24" s="309"/>
      <c r="D24" s="393"/>
      <c r="H24" s="347"/>
      <c r="I24" s="347"/>
    </row>
    <row r="25" spans="1:18" ht="13.5" customHeight="1">
      <c r="B25" s="403"/>
      <c r="C25" s="309"/>
      <c r="D25" s="393"/>
    </row>
    <row r="26" spans="1:18" ht="13.5" customHeight="1">
      <c r="B26" s="403"/>
      <c r="C26" s="309"/>
      <c r="D26" s="393"/>
      <c r="H26" s="385"/>
    </row>
    <row r="27" spans="1:18">
      <c r="B27" s="400"/>
      <c r="C27" s="309"/>
      <c r="D27" s="309"/>
    </row>
  </sheetData>
  <sheetProtection algorithmName="SHA-512" hashValue="lRcU132DF5mZkCjzd4p6K3WCusROKnZ7KUIUvoxaLzRF9mz7AmHEmQX0pmBTLV9GEJ87nMX121HSG9THDVnHGw==" saltValue="+dMUg4ZjYVDs+nYRvQz57Q==" spinCount="100000" sheet="1" objects="1" scenarios="1"/>
  <mergeCells count="20">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s>
  <pageMargins left="0.25" right="0.25" top="0.5" bottom="0.5" header="0.25" footer="0.25"/>
  <pageSetup paperSize="5" orientation="landscape" r:id="rId1"/>
  <headerFooter alignWithMargins="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23E24-3E68-46AD-B075-BA577072C4C4}">
  <sheetPr codeName="Sheet217">
    <tabColor theme="5" tint="0.59999389629810485"/>
  </sheetPr>
  <dimension ref="A1:U42"/>
  <sheetViews>
    <sheetView zoomScaleNormal="100" zoomScaleSheetLayoutView="80" workbookViewId="0">
      <selection activeCell="G27" sqref="G27"/>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"&amp;UPPER('KEY INPUTS'!D56)&amp;"  (UTILITY  CAPITAL  FUND)"</f>
        <v>SCHEDULE  OF  IMPROVEMENT  AUTHORIZATIONS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543"/>
      <c r="C9" s="518"/>
      <c r="D9" s="520"/>
      <c r="E9" s="466"/>
      <c r="F9" s="466"/>
      <c r="G9" s="466"/>
      <c r="H9" s="466"/>
      <c r="I9" s="466"/>
      <c r="J9" s="466"/>
      <c r="K9" s="466"/>
      <c r="L9" s="478"/>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3171</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3580</v>
      </c>
      <c r="E27" s="755">
        <f t="shared" ref="E27:L27" si="0">SUM(E9:E26)</f>
        <v>0</v>
      </c>
      <c r="F27" s="755">
        <f t="shared" si="0"/>
        <v>0</v>
      </c>
      <c r="G27" s="755">
        <f t="shared" si="0"/>
        <v>0</v>
      </c>
      <c r="H27" s="755">
        <f t="shared" si="0"/>
        <v>0</v>
      </c>
      <c r="I27" s="755">
        <f t="shared" si="0"/>
        <v>0</v>
      </c>
      <c r="J27" s="755">
        <f t="shared" si="0"/>
        <v>0</v>
      </c>
      <c r="K27" s="755">
        <f t="shared" si="0"/>
        <v>0</v>
      </c>
      <c r="L27" s="797">
        <f t="shared" si="0"/>
        <v>0</v>
      </c>
    </row>
    <row r="28" spans="1:21" ht="13.5" customHeight="1" thickTop="1">
      <c r="B28" s="403"/>
      <c r="C28" s="309" t="s">
        <v>521</v>
      </c>
      <c r="D28" s="393"/>
      <c r="K28" s="347"/>
      <c r="L28" s="347"/>
    </row>
    <row r="42" spans="11:12">
      <c r="K42" s="267" t="s">
        <v>3211</v>
      </c>
      <c r="L42" s="301">
        <f>K27+L27</f>
        <v>0</v>
      </c>
    </row>
  </sheetData>
  <sheetProtection algorithmName="SHA-512" hashValue="RroeTCLkbZFGe7sR4A3IemouH0iyzIKm2SZK9omy5QU83/Gxmr9xx+Uth/GA6/2vxY6ZVly58rgnSjjR6zVzKw==" saltValue="7XgyUsPGjPNtbGFikjl6M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70FB3-D131-4BA0-8C96-2638E1CE1B7C}">
  <sheetPr codeName="Sheet218">
    <tabColor theme="5" tint="0.59999389629810485"/>
  </sheetPr>
  <dimension ref="A1:U42"/>
  <sheetViews>
    <sheetView zoomScaleNormal="100" zoomScaleSheetLayoutView="80" workbookViewId="0">
      <selection activeCell="G27" sqref="G27"/>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"&amp;UPPER('KEY INPUTS'!D56)&amp;"  (UTILITY  CAPITAL  FUND)"</f>
        <v>SCHEDULE  OF  IMPROVEMENT  AUTHORIZATIONS    (UTILITY  CAPITAL  FUND)</v>
      </c>
      <c r="C2" s="1363"/>
      <c r="D2" s="1363"/>
      <c r="E2" s="1363"/>
      <c r="F2" s="1363"/>
      <c r="G2" s="1363"/>
      <c r="H2" s="1363"/>
      <c r="I2" s="1363"/>
      <c r="J2" s="1363"/>
      <c r="K2" s="1363"/>
      <c r="L2" s="1363"/>
    </row>
    <row r="3" spans="2:21" ht="9.75" customHeight="1" thickBot="1">
      <c r="B3" s="1472"/>
      <c r="C3" s="1472"/>
      <c r="D3" s="1472"/>
      <c r="E3" s="1472"/>
      <c r="F3" s="1472"/>
      <c r="G3" s="1472"/>
      <c r="H3" s="1472"/>
      <c r="I3" s="1472"/>
      <c r="J3" s="1472"/>
      <c r="K3" s="1472"/>
      <c r="L3" s="1472"/>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65" t="s">
        <v>3262</v>
      </c>
      <c r="C9" s="866"/>
      <c r="D9" s="867"/>
      <c r="E9" s="864">
        <f>+'52-Utility3'!E27</f>
        <v>0</v>
      </c>
      <c r="F9" s="864">
        <f>+'52-Utility3'!F27</f>
        <v>0</v>
      </c>
      <c r="G9" s="864">
        <f>+'52-Utility3'!G27</f>
        <v>0</v>
      </c>
      <c r="H9" s="864">
        <f>+'52-Utility3'!H27</f>
        <v>0</v>
      </c>
      <c r="I9" s="864">
        <f>+'52-Utility3'!I27</f>
        <v>0</v>
      </c>
      <c r="J9" s="864">
        <f>+'52-Utility3'!J27</f>
        <v>0</v>
      </c>
      <c r="K9" s="864">
        <f>+'52-Utility3'!K27</f>
        <v>0</v>
      </c>
      <c r="L9" s="868">
        <f>+'52-Utility3'!L27</f>
        <v>0</v>
      </c>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3356</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3360</v>
      </c>
      <c r="E27" s="755">
        <f t="shared" ref="E27:L27" si="0">SUM(E9:E26)</f>
        <v>0</v>
      </c>
      <c r="F27" s="755">
        <f t="shared" si="0"/>
        <v>0</v>
      </c>
      <c r="G27" s="755">
        <f t="shared" si="0"/>
        <v>0</v>
      </c>
      <c r="H27" s="755">
        <f t="shared" si="0"/>
        <v>0</v>
      </c>
      <c r="I27" s="755">
        <f t="shared" si="0"/>
        <v>0</v>
      </c>
      <c r="J27" s="755">
        <f t="shared" si="0"/>
        <v>0</v>
      </c>
      <c r="K27" s="755">
        <f t="shared" si="0"/>
        <v>0</v>
      </c>
      <c r="L27" s="797">
        <f t="shared" si="0"/>
        <v>0</v>
      </c>
    </row>
    <row r="28" spans="1:21" ht="13.5" customHeight="1" thickTop="1">
      <c r="B28" s="403"/>
      <c r="C28" s="309" t="s">
        <v>521</v>
      </c>
      <c r="D28" s="393"/>
      <c r="K28" s="347"/>
      <c r="L28" s="347"/>
    </row>
    <row r="42" spans="11:12">
      <c r="K42" s="267" t="s">
        <v>3211</v>
      </c>
      <c r="L42" s="301">
        <f>K27+L27</f>
        <v>0</v>
      </c>
    </row>
  </sheetData>
  <sheetProtection algorithmName="SHA-512" hashValue="lOpGIeJk3fc+/us/FXf0BUBxVhY8LwvEzQNbtz6GKoQJLYoOGQz/QQrNvoQ9kVy+oTKiYWUYfrMd5l9VSYjrHw==" saltValue="Kj9l7wUWto6YNV2yEHpjo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79810-BBEF-40E1-ABF2-A5C86910718A}">
  <sheetPr codeName="Sheet219">
    <tabColor theme="5" tint="0.59999389629810485"/>
  </sheetPr>
  <dimension ref="A1:U42"/>
  <sheetViews>
    <sheetView zoomScaleNormal="100" zoomScaleSheetLayoutView="80" workbookViewId="0">
      <selection activeCell="G30" sqref="G30"/>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"&amp;UPPER('KEY INPUTS'!D56)&amp;"  (UTILITY  CAPITAL  FUND)"</f>
        <v>SCHEDULE  OF  IMPROVEMENT  AUTHORIZATIONS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65" t="s">
        <v>3262</v>
      </c>
      <c r="C9" s="866"/>
      <c r="D9" s="867"/>
      <c r="E9" s="864">
        <f>+'52.1-Utility3'!E27</f>
        <v>0</v>
      </c>
      <c r="F9" s="864">
        <f>+'52.1-Utility3'!F27</f>
        <v>0</v>
      </c>
      <c r="G9" s="864">
        <f>+'52.1-Utility3'!G27</f>
        <v>0</v>
      </c>
      <c r="H9" s="864">
        <f>+'52.1-Utility3'!H27</f>
        <v>0</v>
      </c>
      <c r="I9" s="864">
        <f>+'52.1-Utility3'!I27</f>
        <v>0</v>
      </c>
      <c r="J9" s="864">
        <f>+'52.1-Utility3'!J27</f>
        <v>0</v>
      </c>
      <c r="K9" s="864">
        <f>+'52.1-Utility3'!K27</f>
        <v>0</v>
      </c>
      <c r="L9" s="868">
        <f>+'52.1-Utility3'!L27</f>
        <v>0</v>
      </c>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3357</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3360</v>
      </c>
      <c r="E27" s="755">
        <f t="shared" ref="E27:L27" si="0">SUM(E9:E26)</f>
        <v>0</v>
      </c>
      <c r="F27" s="755">
        <f t="shared" si="0"/>
        <v>0</v>
      </c>
      <c r="G27" s="755">
        <f t="shared" si="0"/>
        <v>0</v>
      </c>
      <c r="H27" s="755">
        <f t="shared" si="0"/>
        <v>0</v>
      </c>
      <c r="I27" s="755">
        <f t="shared" si="0"/>
        <v>0</v>
      </c>
      <c r="J27" s="755">
        <f t="shared" si="0"/>
        <v>0</v>
      </c>
      <c r="K27" s="755">
        <f t="shared" si="0"/>
        <v>0</v>
      </c>
      <c r="L27" s="797">
        <f t="shared" si="0"/>
        <v>0</v>
      </c>
    </row>
    <row r="28" spans="1:21" ht="13.5" customHeight="1" thickTop="1">
      <c r="B28" s="403"/>
      <c r="C28" s="309" t="s">
        <v>521</v>
      </c>
      <c r="D28" s="393"/>
      <c r="K28" s="347"/>
      <c r="L28" s="347"/>
    </row>
    <row r="42" spans="11:12">
      <c r="K42" s="267" t="s">
        <v>3211</v>
      </c>
      <c r="L42" s="301">
        <f>K27+L27</f>
        <v>0</v>
      </c>
    </row>
  </sheetData>
  <sheetProtection algorithmName="SHA-512" hashValue="dNue/8PqZwAxCFOdKO1LawKM+599X9Q3QZTfp/eCXVqYd65hSShIqRDHnpOOKDIx/s9rJ4Fxl41IPDfNFUkjJw==" saltValue="IM6uWa/1DpzhGgTior8WC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CA47F-6D38-476C-8853-F6FDE3FC6D5F}">
  <sheetPr codeName="Sheet220">
    <tabColor theme="5" tint="0.59999389629810485"/>
  </sheetPr>
  <dimension ref="A1:U42"/>
  <sheetViews>
    <sheetView zoomScaleNormal="100" zoomScaleSheetLayoutView="80" workbookViewId="0">
      <selection activeCell="G7" sqref="G7"/>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"&amp;UPPER('KEY INPUTS'!D56)&amp;"  (UTILITY  CAPITAL  FUND)"</f>
        <v>SCHEDULE  OF  IMPROVEMENT  AUTHORIZATIONS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65" t="s">
        <v>3262</v>
      </c>
      <c r="C9" s="866"/>
      <c r="D9" s="867"/>
      <c r="E9" s="864">
        <f>+'52.2-Utility3'!E27</f>
        <v>0</v>
      </c>
      <c r="F9" s="864">
        <f>+'52.2-Utility3'!F27</f>
        <v>0</v>
      </c>
      <c r="G9" s="864">
        <f>+'52.2-Utility3'!G27</f>
        <v>0</v>
      </c>
      <c r="H9" s="864">
        <f>+'52.2-Utility3'!H27</f>
        <v>0</v>
      </c>
      <c r="I9" s="864">
        <f>+'52.2-Utility3'!I27</f>
        <v>0</v>
      </c>
      <c r="J9" s="864">
        <f>+'52.2-Utility3'!J27</f>
        <v>0</v>
      </c>
      <c r="K9" s="864">
        <f>+'52.2-Utility3'!K27</f>
        <v>0</v>
      </c>
      <c r="L9" s="868">
        <f>+'52.2-Utility3'!L27</f>
        <v>0</v>
      </c>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3358</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3360</v>
      </c>
      <c r="E27" s="755">
        <f t="shared" ref="E27:L27" si="0">SUM(E9:E26)</f>
        <v>0</v>
      </c>
      <c r="F27" s="755">
        <f t="shared" si="0"/>
        <v>0</v>
      </c>
      <c r="G27" s="755">
        <f t="shared" si="0"/>
        <v>0</v>
      </c>
      <c r="H27" s="755">
        <f t="shared" si="0"/>
        <v>0</v>
      </c>
      <c r="I27" s="755">
        <f t="shared" si="0"/>
        <v>0</v>
      </c>
      <c r="J27" s="755">
        <f t="shared" si="0"/>
        <v>0</v>
      </c>
      <c r="K27" s="755">
        <f t="shared" si="0"/>
        <v>0</v>
      </c>
      <c r="L27" s="797">
        <f t="shared" si="0"/>
        <v>0</v>
      </c>
    </row>
    <row r="28" spans="1:21" ht="13.5" customHeight="1" thickTop="1">
      <c r="B28" s="403"/>
      <c r="C28" s="309" t="s">
        <v>521</v>
      </c>
      <c r="D28" s="393"/>
      <c r="K28" s="347"/>
      <c r="L28" s="347"/>
    </row>
    <row r="42" spans="11:12">
      <c r="K42" s="267" t="s">
        <v>3211</v>
      </c>
      <c r="L42" s="301">
        <f>K27+L27</f>
        <v>0</v>
      </c>
    </row>
  </sheetData>
  <sheetProtection algorithmName="SHA-512" hashValue="CsTyvum7Iv9o58KrDOopO6wFlSehTafGaQdYaKm1o9f7dyIzlcgcxd+WGwqHp0yAzIw9oBT/qF+FaVynSGcYsg==" saltValue="wYh9VEFlBB301lf8neoGI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F8F5-1EA7-4271-B481-731CE6329425}">
  <sheetPr codeName="Sheet221">
    <tabColor theme="5" tint="0.59999389629810485"/>
  </sheetPr>
  <dimension ref="A1:U42"/>
  <sheetViews>
    <sheetView zoomScaleNormal="100" zoomScaleSheetLayoutView="80" workbookViewId="0">
      <selection activeCell="G7" sqref="G7"/>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"&amp;UPPER('KEY INPUTS'!D56)&amp;"  (UTILITY  CAPITAL  FUND)"</f>
        <v>SCHEDULE  OF  IMPROVEMENT  AUTHORIZATIONS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42" t="str">
        <f>IF('KEY INPUTS'!C42 = "State Fiscal Year", 'KEY INPUTS'!F25,'KEY INPUTS'!D25)</f>
        <v>Balance - January 1, 2024</v>
      </c>
      <c r="F4" s="1369"/>
      <c r="G4" s="324"/>
      <c r="H4" s="324"/>
      <c r="I4" s="324"/>
      <c r="J4" s="324"/>
      <c r="K4" s="1442" t="str">
        <f>IF('KEY INPUTS'!C42 = "State Fiscal Year", 'KEY INPUTS'!F26,'KEY INPUTS'!D26)</f>
        <v>Balance - December 31, 2024</v>
      </c>
      <c r="L4" s="1447"/>
    </row>
    <row r="5" spans="2:21" ht="13.5" customHeight="1">
      <c r="B5" s="1352" t="s">
        <v>514</v>
      </c>
      <c r="C5" s="1352"/>
      <c r="D5" s="1427"/>
      <c r="E5" s="1443"/>
      <c r="F5" s="1444"/>
      <c r="G5" s="319"/>
      <c r="H5" s="319"/>
      <c r="I5" s="319"/>
      <c r="J5" s="319"/>
      <c r="K5" s="1443"/>
      <c r="L5" s="1448"/>
    </row>
    <row r="6" spans="2:21" ht="13.5" customHeight="1">
      <c r="B6" s="1352" t="s">
        <v>515</v>
      </c>
      <c r="C6" s="1352"/>
      <c r="D6" s="1427"/>
      <c r="E6" s="1445"/>
      <c r="F6" s="1446"/>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65" t="s">
        <v>3262</v>
      </c>
      <c r="C9" s="866"/>
      <c r="D9" s="867"/>
      <c r="E9" s="864">
        <f>+'52.3-Utility3'!E27</f>
        <v>0</v>
      </c>
      <c r="F9" s="864">
        <f>+'52.3-Utility3'!F27</f>
        <v>0</v>
      </c>
      <c r="G9" s="864">
        <f>+'52.3-Utility3'!G27</f>
        <v>0</v>
      </c>
      <c r="H9" s="864">
        <f>+'52.3-Utility3'!H27</f>
        <v>0</v>
      </c>
      <c r="I9" s="864">
        <f>+'52.3-Utility3'!I27</f>
        <v>0</v>
      </c>
      <c r="J9" s="864">
        <f>+'52.3-Utility3'!J27</f>
        <v>0</v>
      </c>
      <c r="K9" s="864">
        <f>+'52.3-Utility3'!K27</f>
        <v>0</v>
      </c>
      <c r="L9" s="868">
        <f>+'52.3-Utility3'!L27</f>
        <v>0</v>
      </c>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3361</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3360</v>
      </c>
      <c r="E27" s="129">
        <f t="shared" ref="E27:L27" si="0">SUM(E9:E26)</f>
        <v>0</v>
      </c>
      <c r="F27" s="129">
        <f t="shared" si="0"/>
        <v>0</v>
      </c>
      <c r="G27" s="129">
        <f t="shared" si="0"/>
        <v>0</v>
      </c>
      <c r="H27" s="129">
        <f t="shared" si="0"/>
        <v>0</v>
      </c>
      <c r="I27" s="129">
        <f t="shared" si="0"/>
        <v>0</v>
      </c>
      <c r="J27" s="129">
        <f t="shared" si="0"/>
        <v>0</v>
      </c>
      <c r="K27" s="129">
        <f t="shared" si="0"/>
        <v>0</v>
      </c>
      <c r="L27" s="146">
        <f t="shared" si="0"/>
        <v>0</v>
      </c>
    </row>
    <row r="28" spans="1:21" ht="13.5" customHeight="1" thickTop="1">
      <c r="B28" s="403"/>
      <c r="C28" s="309" t="s">
        <v>521</v>
      </c>
      <c r="D28" s="393"/>
      <c r="K28" s="347"/>
      <c r="L28" s="347"/>
    </row>
    <row r="42" spans="11:12">
      <c r="K42" s="267" t="s">
        <v>3211</v>
      </c>
      <c r="L42" s="301">
        <f>K27+L27</f>
        <v>0</v>
      </c>
    </row>
  </sheetData>
  <sheetProtection algorithmName="SHA-512" hashValue="cdtM2z/bDZyFzR4Tzn+HtlHWtCGWn9eIG8Ud6+0a06Bnkyxo+wy1nrdz9j2Frw6Pm2yOAi/2WRJ3AfEcFTK8EQ==" saltValue="nirK9/Uk/xY2PK5/6c4aX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ED8F3-9FC3-4223-94F4-DB496ED6FCB8}">
  <sheetPr codeName="Sheet23"/>
  <dimension ref="B2:O52"/>
  <sheetViews>
    <sheetView zoomScaleNormal="100" workbookViewId="0">
      <selection activeCell="J23" sqref="J23"/>
    </sheetView>
  </sheetViews>
  <sheetFormatPr defaultColWidth="9.109375" defaultRowHeight="13.2"/>
  <cols>
    <col min="1" max="3" width="4.6640625" customWidth="1"/>
    <col min="5" max="5" width="11.88671875" customWidth="1"/>
    <col min="6" max="6" width="1.6640625" customWidth="1"/>
    <col min="7" max="7" width="14.6640625" customWidth="1"/>
    <col min="8" max="8" width="1.6640625" customWidth="1"/>
    <col min="9" max="9" width="14.6640625" customWidth="1"/>
    <col min="10" max="10" width="1.6640625" customWidth="1"/>
    <col min="11" max="11" width="14.6640625" customWidth="1"/>
    <col min="12" max="12" width="1.6640625" customWidth="1"/>
    <col min="13" max="13" width="14.6640625" customWidth="1"/>
    <col min="14" max="14" width="10.88671875" bestFit="1" customWidth="1"/>
    <col min="15" max="15" width="13.5546875" bestFit="1" customWidth="1"/>
  </cols>
  <sheetData>
    <row r="2" spans="2:15" ht="20.399999999999999">
      <c r="B2" s="1131" t="s">
        <v>3349</v>
      </c>
      <c r="C2" s="1131"/>
      <c r="D2" s="1131"/>
      <c r="E2" s="1131"/>
      <c r="F2" s="1131"/>
      <c r="G2" s="1131"/>
      <c r="H2" s="1131"/>
      <c r="I2" s="1131"/>
      <c r="J2" s="1131"/>
      <c r="K2" s="1131"/>
      <c r="L2" s="1131"/>
      <c r="M2" s="1131"/>
    </row>
    <row r="3" spans="2:15">
      <c r="B3" s="1158"/>
      <c r="C3" s="1158"/>
      <c r="D3" s="1158"/>
      <c r="E3" s="1158"/>
      <c r="F3" s="1158"/>
      <c r="G3" s="1158"/>
      <c r="H3" s="1158"/>
      <c r="I3" s="1158"/>
      <c r="J3" s="1158"/>
      <c r="K3" s="1158"/>
      <c r="L3" s="1158"/>
      <c r="M3" s="1158"/>
    </row>
    <row r="5" spans="2:15">
      <c r="B5" s="1190"/>
      <c r="C5" s="1190"/>
      <c r="D5" s="1190"/>
      <c r="G5" s="1" t="s">
        <v>414</v>
      </c>
      <c r="I5" s="124"/>
      <c r="K5" s="124"/>
    </row>
    <row r="6" spans="2:15">
      <c r="B6" s="1190"/>
      <c r="C6" s="1190"/>
      <c r="D6" s="1190"/>
      <c r="G6" s="243" t="str">
        <f>'6b.1-Trust Fund Reserves'!G6</f>
        <v>Dec. 31, 2023</v>
      </c>
      <c r="I6" s="1"/>
      <c r="K6" s="1"/>
      <c r="M6" s="1" t="s">
        <v>529</v>
      </c>
    </row>
    <row r="7" spans="2:15">
      <c r="G7" s="1" t="s">
        <v>433</v>
      </c>
      <c r="I7" s="1"/>
      <c r="K7" s="1"/>
      <c r="M7" s="1" t="s">
        <v>437</v>
      </c>
    </row>
    <row r="8" spans="2:15">
      <c r="B8" s="1190" t="s">
        <v>413</v>
      </c>
      <c r="C8" s="1190"/>
      <c r="D8" s="1190"/>
      <c r="G8" s="124" t="s">
        <v>432</v>
      </c>
      <c r="I8" s="124" t="s">
        <v>427</v>
      </c>
      <c r="K8" s="124" t="s">
        <v>535</v>
      </c>
      <c r="M8" s="241" t="str">
        <f>'6b.1-Trust Fund Reserves'!M8</f>
        <v>Dec. 31, 2024</v>
      </c>
    </row>
    <row r="9" spans="2:15">
      <c r="B9" s="124"/>
      <c r="C9" s="124"/>
      <c r="D9" s="124"/>
      <c r="G9" s="124"/>
      <c r="I9" s="124"/>
      <c r="K9" s="124"/>
      <c r="M9" s="124"/>
    </row>
    <row r="10" spans="2:15" ht="21" customHeight="1">
      <c r="B10" s="590" t="s">
        <v>3256</v>
      </c>
      <c r="C10" s="30"/>
      <c r="D10" s="30"/>
      <c r="E10" s="30"/>
      <c r="G10" s="638">
        <f>+'6b.1-Trust Fund Reserves'!G48</f>
        <v>245057.19999999998</v>
      </c>
      <c r="I10" s="638">
        <f>+'6b.1-Trust Fund Reserves'!I48</f>
        <v>933468.92</v>
      </c>
      <c r="K10" s="638">
        <f>+'6b.1-Trust Fund Reserves'!K48</f>
        <v>849468.8</v>
      </c>
      <c r="M10" s="637">
        <f>+'6b.1-Trust Fund Reserves'!M48</f>
        <v>329057.32</v>
      </c>
      <c r="N10" s="204"/>
      <c r="O10" s="204"/>
    </row>
    <row r="11" spans="2:15" ht="21" customHeight="1">
      <c r="B11" s="292"/>
      <c r="C11" s="292"/>
      <c r="D11" s="292"/>
      <c r="E11" s="292"/>
      <c r="G11" s="293"/>
      <c r="I11" s="293"/>
      <c r="K11" s="293"/>
      <c r="L11" s="295"/>
      <c r="M11" s="637">
        <f t="shared" ref="M11:M47" si="0">+G11+I11-K11</f>
        <v>0</v>
      </c>
      <c r="N11" s="204"/>
    </row>
    <row r="12" spans="2:15" ht="21" customHeight="1">
      <c r="B12" s="292"/>
      <c r="C12" s="292"/>
      <c r="D12" s="292"/>
      <c r="E12" s="292"/>
      <c r="G12" s="293"/>
      <c r="I12" s="293"/>
      <c r="K12" s="293"/>
      <c r="L12" s="295"/>
      <c r="M12" s="637">
        <f t="shared" si="0"/>
        <v>0</v>
      </c>
      <c r="N12" s="204"/>
    </row>
    <row r="13" spans="2:15" ht="21" customHeight="1">
      <c r="B13" s="292"/>
      <c r="C13" s="292"/>
      <c r="D13" s="292"/>
      <c r="E13" s="292"/>
      <c r="G13" s="293"/>
      <c r="I13" s="511"/>
      <c r="K13" s="293"/>
      <c r="L13" s="295"/>
      <c r="M13" s="637">
        <f t="shared" si="0"/>
        <v>0</v>
      </c>
      <c r="N13" s="204"/>
      <c r="O13" s="294"/>
    </row>
    <row r="14" spans="2:15" ht="21" customHeight="1">
      <c r="B14" s="512"/>
      <c r="C14" s="292"/>
      <c r="D14" s="292"/>
      <c r="E14" s="292"/>
      <c r="G14" s="293"/>
      <c r="I14" s="293"/>
      <c r="K14" s="293"/>
      <c r="L14" s="295"/>
      <c r="M14" s="637">
        <f t="shared" si="0"/>
        <v>0</v>
      </c>
      <c r="N14" s="204"/>
    </row>
    <row r="15" spans="2:15" ht="21" customHeight="1">
      <c r="B15" s="292"/>
      <c r="C15" s="292"/>
      <c r="D15" s="292"/>
      <c r="E15" s="292"/>
      <c r="G15" s="293"/>
      <c r="I15" s="293"/>
      <c r="K15" s="293"/>
      <c r="L15" s="295"/>
      <c r="M15" s="637">
        <f t="shared" si="0"/>
        <v>0</v>
      </c>
      <c r="N15" s="204"/>
    </row>
    <row r="16" spans="2:15" ht="21" customHeight="1">
      <c r="B16" s="292"/>
      <c r="C16" s="292"/>
      <c r="D16" s="292"/>
      <c r="E16" s="292"/>
      <c r="G16" s="293"/>
      <c r="I16" s="293"/>
      <c r="K16" s="293"/>
      <c r="L16" s="295"/>
      <c r="M16" s="637">
        <f t="shared" si="0"/>
        <v>0</v>
      </c>
      <c r="N16" s="204"/>
    </row>
    <row r="17" spans="2:14" ht="21" customHeight="1">
      <c r="B17" s="292"/>
      <c r="C17" s="292"/>
      <c r="D17" s="292"/>
      <c r="E17" s="292"/>
      <c r="G17" s="293"/>
      <c r="I17" s="293"/>
      <c r="K17" s="293"/>
      <c r="L17" s="295"/>
      <c r="M17" s="637">
        <f t="shared" si="0"/>
        <v>0</v>
      </c>
      <c r="N17" s="204"/>
    </row>
    <row r="18" spans="2:14" ht="21" customHeight="1">
      <c r="B18" s="292"/>
      <c r="C18" s="292"/>
      <c r="D18" s="292"/>
      <c r="E18" s="292"/>
      <c r="G18" s="293"/>
      <c r="I18" s="293"/>
      <c r="K18" s="293"/>
      <c r="L18" s="295"/>
      <c r="M18" s="637">
        <f t="shared" si="0"/>
        <v>0</v>
      </c>
      <c r="N18" s="204"/>
    </row>
    <row r="19" spans="2:14" ht="21" customHeight="1">
      <c r="B19" s="512"/>
      <c r="C19" s="292"/>
      <c r="D19" s="292"/>
      <c r="E19" s="292"/>
      <c r="G19" s="293"/>
      <c r="I19" s="293"/>
      <c r="K19" s="293"/>
      <c r="L19" s="295"/>
      <c r="M19" s="637">
        <f t="shared" si="0"/>
        <v>0</v>
      </c>
      <c r="N19" s="204"/>
    </row>
    <row r="20" spans="2:14" ht="21" customHeight="1">
      <c r="B20" s="512"/>
      <c r="C20" s="292"/>
      <c r="D20" s="292"/>
      <c r="E20" s="292"/>
      <c r="G20" s="293"/>
      <c r="I20" s="293"/>
      <c r="K20" s="293"/>
      <c r="L20" s="295"/>
      <c r="M20" s="637">
        <f t="shared" si="0"/>
        <v>0</v>
      </c>
      <c r="N20" s="204"/>
    </row>
    <row r="21" spans="2:14" ht="21" customHeight="1">
      <c r="B21" s="512"/>
      <c r="C21" s="292"/>
      <c r="D21" s="292"/>
      <c r="E21" s="292"/>
      <c r="G21" s="293"/>
      <c r="I21" s="293"/>
      <c r="K21" s="293"/>
      <c r="L21" s="295"/>
      <c r="M21" s="637">
        <f t="shared" si="0"/>
        <v>0</v>
      </c>
      <c r="N21" s="204"/>
    </row>
    <row r="22" spans="2:14" ht="21" customHeight="1">
      <c r="B22" s="512"/>
      <c r="C22" s="292"/>
      <c r="D22" s="292"/>
      <c r="E22" s="292"/>
      <c r="G22" s="293"/>
      <c r="I22" s="293"/>
      <c r="K22" s="293"/>
      <c r="L22" s="295"/>
      <c r="M22" s="637">
        <f t="shared" si="0"/>
        <v>0</v>
      </c>
      <c r="N22" s="204"/>
    </row>
    <row r="23" spans="2:14" ht="21" customHeight="1">
      <c r="B23" s="512"/>
      <c r="C23" s="292"/>
      <c r="D23" s="292"/>
      <c r="E23" s="292"/>
      <c r="G23" s="293"/>
      <c r="I23" s="293"/>
      <c r="K23" s="293"/>
      <c r="L23" s="295"/>
      <c r="M23" s="637">
        <f t="shared" si="0"/>
        <v>0</v>
      </c>
      <c r="N23" s="204"/>
    </row>
    <row r="24" spans="2:14" ht="21" customHeight="1">
      <c r="B24" s="512"/>
      <c r="C24" s="292"/>
      <c r="D24" s="292"/>
      <c r="E24" s="292"/>
      <c r="G24" s="293"/>
      <c r="I24" s="293"/>
      <c r="K24" s="293"/>
      <c r="L24" s="295"/>
      <c r="M24" s="637">
        <f t="shared" si="0"/>
        <v>0</v>
      </c>
      <c r="N24" s="204"/>
    </row>
    <row r="25" spans="2:14" ht="21" customHeight="1">
      <c r="B25" s="292"/>
      <c r="C25" s="292"/>
      <c r="D25" s="292"/>
      <c r="E25" s="292"/>
      <c r="G25" s="293"/>
      <c r="I25" s="293"/>
      <c r="K25" s="293"/>
      <c r="L25" s="295"/>
      <c r="M25" s="637">
        <f t="shared" si="0"/>
        <v>0</v>
      </c>
      <c r="N25" s="204"/>
    </row>
    <row r="26" spans="2:14" ht="21" customHeight="1">
      <c r="B26" s="292"/>
      <c r="C26" s="292"/>
      <c r="D26" s="292"/>
      <c r="E26" s="292"/>
      <c r="G26" s="293"/>
      <c r="I26" s="293"/>
      <c r="K26" s="293"/>
      <c r="L26" s="295"/>
      <c r="M26" s="637">
        <f t="shared" si="0"/>
        <v>0</v>
      </c>
    </row>
    <row r="27" spans="2:14" ht="21" customHeight="1">
      <c r="B27" s="292"/>
      <c r="C27" s="292"/>
      <c r="D27" s="292"/>
      <c r="E27" s="292"/>
      <c r="G27" s="293"/>
      <c r="I27" s="293"/>
      <c r="K27" s="293"/>
      <c r="L27" s="295"/>
      <c r="M27" s="637">
        <f t="shared" si="0"/>
        <v>0</v>
      </c>
    </row>
    <row r="28" spans="2:14" ht="21" customHeight="1">
      <c r="B28" s="292"/>
      <c r="C28" s="292"/>
      <c r="D28" s="292"/>
      <c r="E28" s="292"/>
      <c r="G28" s="293"/>
      <c r="I28" s="293"/>
      <c r="K28" s="293"/>
      <c r="L28" s="295"/>
      <c r="M28" s="637">
        <f t="shared" si="0"/>
        <v>0</v>
      </c>
    </row>
    <row r="29" spans="2:14" ht="21" customHeight="1">
      <c r="B29" s="292"/>
      <c r="C29" s="292"/>
      <c r="D29" s="292"/>
      <c r="E29" s="292"/>
      <c r="G29" s="293"/>
      <c r="I29" s="293"/>
      <c r="K29" s="293"/>
      <c r="L29" s="295"/>
      <c r="M29" s="637">
        <f t="shared" si="0"/>
        <v>0</v>
      </c>
    </row>
    <row r="30" spans="2:14" ht="21" customHeight="1">
      <c r="B30" s="292"/>
      <c r="C30" s="292"/>
      <c r="D30" s="292"/>
      <c r="E30" s="292"/>
      <c r="G30" s="293"/>
      <c r="I30" s="293"/>
      <c r="K30" s="293"/>
      <c r="L30" s="295"/>
      <c r="M30" s="637">
        <f t="shared" si="0"/>
        <v>0</v>
      </c>
    </row>
    <row r="31" spans="2:14" ht="21" customHeight="1">
      <c r="B31" s="292"/>
      <c r="C31" s="292"/>
      <c r="D31" s="292"/>
      <c r="E31" s="292"/>
      <c r="G31" s="293"/>
      <c r="I31" s="293"/>
      <c r="K31" s="293"/>
      <c r="L31" s="295"/>
      <c r="M31" s="637">
        <f t="shared" si="0"/>
        <v>0</v>
      </c>
    </row>
    <row r="32" spans="2:14" ht="21" customHeight="1">
      <c r="B32" s="292"/>
      <c r="C32" s="292"/>
      <c r="D32" s="292"/>
      <c r="E32" s="292"/>
      <c r="G32" s="293"/>
      <c r="I32" s="293"/>
      <c r="K32" s="293"/>
      <c r="L32" s="295"/>
      <c r="M32" s="637">
        <f t="shared" si="0"/>
        <v>0</v>
      </c>
    </row>
    <row r="33" spans="2:13" ht="21" customHeight="1">
      <c r="B33" s="292"/>
      <c r="C33" s="292"/>
      <c r="D33" s="292"/>
      <c r="E33" s="292"/>
      <c r="G33" s="293"/>
      <c r="I33" s="293"/>
      <c r="K33" s="293"/>
      <c r="L33" s="295"/>
      <c r="M33" s="637">
        <f t="shared" si="0"/>
        <v>0</v>
      </c>
    </row>
    <row r="34" spans="2:13" ht="21" customHeight="1">
      <c r="B34" s="292"/>
      <c r="C34" s="292"/>
      <c r="D34" s="292"/>
      <c r="E34" s="292"/>
      <c r="G34" s="293"/>
      <c r="I34" s="293"/>
      <c r="K34" s="293"/>
      <c r="L34" s="295"/>
      <c r="M34" s="637">
        <f t="shared" si="0"/>
        <v>0</v>
      </c>
    </row>
    <row r="35" spans="2:13" ht="21" customHeight="1">
      <c r="B35" s="292"/>
      <c r="C35" s="292"/>
      <c r="D35" s="292"/>
      <c r="E35" s="292"/>
      <c r="G35" s="293"/>
      <c r="I35" s="293"/>
      <c r="K35" s="293"/>
      <c r="L35" s="295"/>
      <c r="M35" s="637">
        <f t="shared" si="0"/>
        <v>0</v>
      </c>
    </row>
    <row r="36" spans="2:13" ht="21" customHeight="1">
      <c r="B36" s="292"/>
      <c r="C36" s="292"/>
      <c r="D36" s="292"/>
      <c r="E36" s="292"/>
      <c r="G36" s="293"/>
      <c r="I36" s="293"/>
      <c r="K36" s="293"/>
      <c r="L36" s="295"/>
      <c r="M36" s="637">
        <f t="shared" si="0"/>
        <v>0</v>
      </c>
    </row>
    <row r="37" spans="2:13" ht="21" customHeight="1">
      <c r="B37" s="292"/>
      <c r="C37" s="292"/>
      <c r="D37" s="292"/>
      <c r="E37" s="292"/>
      <c r="G37" s="293"/>
      <c r="I37" s="293"/>
      <c r="K37" s="293"/>
      <c r="L37" s="295"/>
      <c r="M37" s="637">
        <f t="shared" si="0"/>
        <v>0</v>
      </c>
    </row>
    <row r="38" spans="2:13" ht="21" customHeight="1">
      <c r="B38" s="292"/>
      <c r="C38" s="292"/>
      <c r="D38" s="292"/>
      <c r="E38" s="292"/>
      <c r="G38" s="293"/>
      <c r="I38" s="293"/>
      <c r="K38" s="293"/>
      <c r="L38" s="295"/>
      <c r="M38" s="637">
        <f t="shared" si="0"/>
        <v>0</v>
      </c>
    </row>
    <row r="39" spans="2:13" ht="21" customHeight="1">
      <c r="B39" s="292"/>
      <c r="C39" s="292"/>
      <c r="D39" s="292"/>
      <c r="E39" s="292"/>
      <c r="G39" s="293"/>
      <c r="I39" s="293"/>
      <c r="K39" s="293"/>
      <c r="L39" s="295"/>
      <c r="M39" s="637">
        <f t="shared" si="0"/>
        <v>0</v>
      </c>
    </row>
    <row r="40" spans="2:13" ht="21" customHeight="1">
      <c r="B40" s="292"/>
      <c r="C40" s="292"/>
      <c r="D40" s="292"/>
      <c r="E40" s="292"/>
      <c r="G40" s="293"/>
      <c r="I40" s="293"/>
      <c r="K40" s="293"/>
      <c r="L40" s="295"/>
      <c r="M40" s="637">
        <f t="shared" si="0"/>
        <v>0</v>
      </c>
    </row>
    <row r="41" spans="2:13" ht="21" customHeight="1">
      <c r="B41" s="292"/>
      <c r="C41" s="292"/>
      <c r="D41" s="292"/>
      <c r="E41" s="292"/>
      <c r="G41" s="293"/>
      <c r="I41" s="293"/>
      <c r="K41" s="293"/>
      <c r="L41" s="295"/>
      <c r="M41" s="637">
        <f t="shared" si="0"/>
        <v>0</v>
      </c>
    </row>
    <row r="42" spans="2:13" ht="21" customHeight="1">
      <c r="B42" s="292"/>
      <c r="C42" s="292"/>
      <c r="D42" s="292"/>
      <c r="E42" s="292"/>
      <c r="G42" s="293"/>
      <c r="I42" s="293"/>
      <c r="K42" s="293"/>
      <c r="L42" s="295"/>
      <c r="M42" s="637">
        <f t="shared" si="0"/>
        <v>0</v>
      </c>
    </row>
    <row r="43" spans="2:13" ht="21" customHeight="1">
      <c r="B43" s="292"/>
      <c r="C43" s="292"/>
      <c r="D43" s="292"/>
      <c r="E43" s="292"/>
      <c r="G43" s="293"/>
      <c r="I43" s="293"/>
      <c r="K43" s="293"/>
      <c r="L43" s="295"/>
      <c r="M43" s="637">
        <f t="shared" si="0"/>
        <v>0</v>
      </c>
    </row>
    <row r="44" spans="2:13" ht="21" customHeight="1">
      <c r="B44" s="292"/>
      <c r="C44" s="292"/>
      <c r="D44" s="292"/>
      <c r="E44" s="292"/>
      <c r="G44" s="293"/>
      <c r="I44" s="293"/>
      <c r="K44" s="293"/>
      <c r="L44" s="295"/>
      <c r="M44" s="637">
        <f t="shared" si="0"/>
        <v>0</v>
      </c>
    </row>
    <row r="45" spans="2:13" ht="21" customHeight="1">
      <c r="B45" s="292"/>
      <c r="C45" s="292"/>
      <c r="D45" s="292"/>
      <c r="E45" s="292"/>
      <c r="G45" s="293"/>
      <c r="I45" s="293"/>
      <c r="K45" s="293"/>
      <c r="L45" s="295"/>
      <c r="M45" s="637">
        <f t="shared" si="0"/>
        <v>0</v>
      </c>
    </row>
    <row r="46" spans="2:13" ht="21" customHeight="1">
      <c r="B46" s="292"/>
      <c r="C46" s="292"/>
      <c r="D46" s="292"/>
      <c r="E46" s="292"/>
      <c r="G46" s="293"/>
      <c r="I46" s="293"/>
      <c r="K46" s="293"/>
      <c r="L46" s="295"/>
      <c r="M46" s="637">
        <f t="shared" si="0"/>
        <v>0</v>
      </c>
    </row>
    <row r="47" spans="2:13" ht="21" customHeight="1">
      <c r="B47" s="292"/>
      <c r="C47" s="292"/>
      <c r="D47" s="292"/>
      <c r="E47" s="292"/>
      <c r="G47" s="293"/>
      <c r="I47" s="293"/>
      <c r="K47" s="293"/>
      <c r="L47" s="295"/>
      <c r="M47" s="637">
        <f t="shared" si="0"/>
        <v>0</v>
      </c>
    </row>
    <row r="48" spans="2:13" ht="21" customHeight="1">
      <c r="D48" s="112" t="s">
        <v>3255</v>
      </c>
      <c r="F48" t="s">
        <v>373</v>
      </c>
      <c r="G48" s="149">
        <f>SUM(G10:G47)</f>
        <v>245057.19999999998</v>
      </c>
      <c r="H48" t="s">
        <v>373</v>
      </c>
      <c r="I48" s="149">
        <f>SUM(I10:I47)</f>
        <v>933468.92</v>
      </c>
      <c r="J48" t="s">
        <v>373</v>
      </c>
      <c r="K48" s="149">
        <f>SUM(K10:K47)</f>
        <v>849468.8</v>
      </c>
      <c r="L48" t="s">
        <v>373</v>
      </c>
      <c r="M48" s="637">
        <f>SUM(M10:M47)</f>
        <v>329057.32</v>
      </c>
    </row>
    <row r="50" spans="2:13" ht="13.8">
      <c r="B50" s="1191" t="s">
        <v>3257</v>
      </c>
      <c r="C50" s="1191"/>
      <c r="D50" s="1191"/>
      <c r="E50" s="1191"/>
      <c r="F50" s="1191"/>
      <c r="G50" s="1191"/>
      <c r="H50" s="1191"/>
      <c r="I50" s="1191"/>
      <c r="J50" s="1191"/>
      <c r="K50" s="1191"/>
      <c r="L50" s="1191"/>
      <c r="M50" s="1191"/>
    </row>
    <row r="52" spans="2:13">
      <c r="G52" s="204"/>
      <c r="M52" s="204"/>
    </row>
  </sheetData>
  <sheetProtection algorithmName="SHA-512" hashValue="wbi+9x435gd/KlLBuGx8h1rsVye84jEmq5KICpUHt0dy//+jx/jt1UJsrZKv+01kaiYYUCTecEH1J5/xvn02fw==" saltValue="Kuf8JtHK5Xt9Tq/RYCMzDg=="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F7EC5-22A2-457E-A23C-A4D422D79740}">
  <sheetPr codeName="Sheet222">
    <tabColor theme="5" tint="0.59999389629810485"/>
  </sheetPr>
  <dimension ref="B3:S54"/>
  <sheetViews>
    <sheetView zoomScaleNormal="100" zoomScaleSheetLayoutView="80" workbookViewId="0">
      <selection activeCell="B10" sqref="B10"/>
    </sheetView>
  </sheetViews>
  <sheetFormatPr defaultColWidth="9.109375" defaultRowHeight="13.2"/>
  <cols>
    <col min="1" max="3" width="4.6640625" style="267" customWidth="1"/>
    <col min="4" max="4" width="4.5546875" style="267" customWidth="1"/>
    <col min="5" max="6" width="9.109375" style="267"/>
    <col min="7" max="7" width="14.44140625" style="267" customWidth="1"/>
    <col min="8" max="8" width="15" style="267" customWidth="1"/>
    <col min="9" max="10" width="16.6640625" style="267" customWidth="1"/>
    <col min="11" max="16384" width="9.109375" style="267"/>
  </cols>
  <sheetData>
    <row r="3" spans="2:19" ht="22.8">
      <c r="B3" s="1358" t="str">
        <f>UPPER('KEY INPUTS'!D$56)&amp;" UTILITY  CAPITAL  FUND"</f>
        <v xml:space="preserve"> UTILITY  CAPITAL  FUND</v>
      </c>
      <c r="C3" s="1358"/>
      <c r="D3" s="1358"/>
      <c r="E3" s="1358"/>
      <c r="F3" s="1358"/>
      <c r="G3" s="1358"/>
      <c r="H3" s="1358"/>
      <c r="I3" s="1358"/>
      <c r="J3" s="1358"/>
    </row>
    <row r="5" spans="2:19" ht="15.6">
      <c r="B5" s="1360" t="s">
        <v>525</v>
      </c>
      <c r="C5" s="1360"/>
      <c r="D5" s="1360"/>
      <c r="E5" s="1360"/>
      <c r="F5" s="1360"/>
      <c r="G5" s="1360"/>
      <c r="H5" s="1360"/>
      <c r="I5" s="1360"/>
      <c r="J5" s="1360"/>
    </row>
    <row r="6" spans="2:19" ht="13.8" thickBot="1"/>
    <row r="7" spans="2:19" ht="28.5" customHeight="1" thickTop="1" thickBot="1">
      <c r="B7" s="364"/>
      <c r="C7" s="364"/>
      <c r="D7" s="364"/>
      <c r="E7" s="364"/>
      <c r="F7" s="364"/>
      <c r="G7" s="364"/>
      <c r="H7" s="364"/>
      <c r="I7" s="304" t="s">
        <v>96</v>
      </c>
      <c r="J7" s="308" t="s">
        <v>97</v>
      </c>
    </row>
    <row r="8" spans="2:19" ht="21" customHeight="1" thickTop="1">
      <c r="B8" s="313" t="str">
        <f>IF('KEY INPUTS'!C42 = "State Fiscal Year", 'KEY INPUTS'!F25,'KEY INPUTS'!D25)</f>
        <v>Balance - January 1, 2024</v>
      </c>
      <c r="C8" s="313"/>
      <c r="D8" s="313"/>
      <c r="E8" s="313"/>
      <c r="F8" s="313"/>
      <c r="G8" s="313"/>
      <c r="H8" s="409"/>
      <c r="I8" s="757" t="s">
        <v>627</v>
      </c>
      <c r="J8" s="486"/>
    </row>
    <row r="9" spans="2:19" ht="21" customHeight="1">
      <c r="B9" s="248" t="str">
        <f>"Received from "&amp;IF('KEY INPUTS'!C42="State Fiscal Year","Fiscal Year "&amp;'KEY INPUTS'!D33&amp;"",'KEY INPUTS'!D34)&amp;" Budget Appropriation"</f>
        <v>Received from 2024 Budget Appropriation</v>
      </c>
      <c r="C9" s="248"/>
      <c r="D9" s="248"/>
      <c r="E9" s="248"/>
      <c r="F9" s="248"/>
      <c r="G9" s="248"/>
      <c r="H9" s="407"/>
      <c r="I9" s="702" t="s">
        <v>627</v>
      </c>
      <c r="J9" s="457"/>
      <c r="M9"/>
      <c r="N9"/>
      <c r="O9"/>
      <c r="P9"/>
      <c r="Q9"/>
      <c r="R9"/>
      <c r="S9"/>
    </row>
    <row r="10" spans="2:19" ht="21" customHeight="1">
      <c r="B10" s="495"/>
      <c r="C10" s="495"/>
      <c r="D10" s="495"/>
      <c r="E10" s="495"/>
      <c r="F10" s="495"/>
      <c r="G10" s="495"/>
      <c r="H10" s="495"/>
      <c r="I10" s="702" t="s">
        <v>627</v>
      </c>
      <c r="J10" s="457"/>
      <c r="M10"/>
      <c r="N10"/>
      <c r="O10"/>
      <c r="P10"/>
      <c r="Q10"/>
      <c r="R10"/>
      <c r="S10"/>
    </row>
    <row r="11" spans="2:19" ht="11.25" customHeight="1">
      <c r="B11" s="412" t="s">
        <v>176</v>
      </c>
      <c r="C11" s="411"/>
      <c r="D11" s="411"/>
      <c r="E11" s="411"/>
      <c r="F11" s="411"/>
      <c r="G11" s="411"/>
      <c r="H11" s="406"/>
      <c r="I11" s="1458" t="s">
        <v>627</v>
      </c>
      <c r="J11" s="1456"/>
      <c r="M11" s="294"/>
      <c r="N11"/>
      <c r="O11"/>
      <c r="P11"/>
      <c r="Q11"/>
      <c r="R11"/>
      <c r="S11"/>
    </row>
    <row r="12" spans="2:19" ht="12.75" customHeight="1">
      <c r="B12" s="333"/>
      <c r="C12" s="408" t="s">
        <v>177</v>
      </c>
      <c r="D12" s="333"/>
      <c r="E12" s="333"/>
      <c r="F12" s="333"/>
      <c r="G12" s="333"/>
      <c r="H12" s="410"/>
      <c r="I12" s="1459"/>
      <c r="J12" s="1457"/>
      <c r="M12"/>
      <c r="N12"/>
      <c r="O12"/>
      <c r="P12"/>
      <c r="Q12"/>
      <c r="R12"/>
      <c r="S12"/>
    </row>
    <row r="13" spans="2:19" ht="21" customHeight="1">
      <c r="B13" s="514"/>
      <c r="C13" s="869"/>
      <c r="D13" s="514"/>
      <c r="E13" s="514"/>
      <c r="F13" s="514"/>
      <c r="G13" s="514"/>
      <c r="H13" s="514"/>
      <c r="I13" s="527"/>
      <c r="J13" s="293"/>
      <c r="M13"/>
      <c r="N13"/>
      <c r="O13"/>
      <c r="P13"/>
      <c r="Q13"/>
      <c r="R13"/>
      <c r="S13"/>
    </row>
    <row r="14" spans="2:19" ht="21" customHeight="1">
      <c r="B14" s="248" t="s">
        <v>178</v>
      </c>
      <c r="C14" s="248"/>
      <c r="D14" s="248"/>
      <c r="E14" s="248"/>
      <c r="F14" s="248"/>
      <c r="G14" s="248"/>
      <c r="H14" s="248"/>
      <c r="I14" s="702" t="s">
        <v>627</v>
      </c>
      <c r="J14" s="706" t="s">
        <v>627</v>
      </c>
      <c r="M14"/>
      <c r="N14"/>
      <c r="O14"/>
      <c r="P14"/>
      <c r="Q14"/>
      <c r="R14"/>
      <c r="S14"/>
    </row>
    <row r="15" spans="2:19" ht="21" customHeight="1">
      <c r="B15" s="495"/>
      <c r="C15" s="495"/>
      <c r="D15" s="495"/>
      <c r="E15" s="495"/>
      <c r="F15" s="495"/>
      <c r="G15" s="495"/>
      <c r="H15" s="495"/>
      <c r="I15" s="450"/>
      <c r="J15" s="706" t="s">
        <v>627</v>
      </c>
      <c r="M15"/>
      <c r="N15"/>
      <c r="O15"/>
      <c r="P15"/>
      <c r="Q15"/>
      <c r="R15"/>
      <c r="S15"/>
    </row>
    <row r="16" spans="2:19" ht="21" customHeight="1">
      <c r="B16" s="495"/>
      <c r="C16" s="495"/>
      <c r="D16" s="495"/>
      <c r="E16" s="495"/>
      <c r="F16" s="495"/>
      <c r="G16" s="495"/>
      <c r="H16" s="495"/>
      <c r="I16" s="450"/>
      <c r="J16" s="706" t="s">
        <v>627</v>
      </c>
      <c r="M16"/>
      <c r="N16"/>
      <c r="O16"/>
      <c r="P16"/>
      <c r="Q16"/>
      <c r="R16"/>
      <c r="S16"/>
    </row>
    <row r="17" spans="2:19" ht="21" customHeight="1">
      <c r="B17" s="495"/>
      <c r="C17" s="495"/>
      <c r="D17" s="495"/>
      <c r="E17" s="495"/>
      <c r="F17" s="495"/>
      <c r="G17" s="495"/>
      <c r="H17" s="495"/>
      <c r="I17" s="450"/>
      <c r="J17" s="706" t="s">
        <v>627</v>
      </c>
      <c r="M17"/>
      <c r="N17"/>
      <c r="O17"/>
      <c r="P17"/>
      <c r="Q17"/>
      <c r="R17"/>
      <c r="S17"/>
    </row>
    <row r="18" spans="2:19" ht="21" customHeight="1">
      <c r="B18" s="495"/>
      <c r="C18" s="495"/>
      <c r="D18" s="495"/>
      <c r="E18" s="495"/>
      <c r="F18" s="495"/>
      <c r="G18" s="495"/>
      <c r="H18" s="495"/>
      <c r="I18" s="450"/>
      <c r="J18" s="706" t="s">
        <v>627</v>
      </c>
      <c r="M18"/>
      <c r="N18"/>
      <c r="O18"/>
      <c r="P18"/>
      <c r="Q18"/>
      <c r="R18"/>
      <c r="S18"/>
    </row>
    <row r="19" spans="2:19" ht="21" customHeight="1">
      <c r="B19" s="495"/>
      <c r="C19" s="495"/>
      <c r="D19" s="495"/>
      <c r="E19" s="495"/>
      <c r="F19" s="495"/>
      <c r="G19" s="495"/>
      <c r="H19" s="495"/>
      <c r="I19" s="450"/>
      <c r="J19" s="706" t="s">
        <v>627</v>
      </c>
      <c r="M19"/>
      <c r="N19"/>
      <c r="O19"/>
      <c r="P19"/>
      <c r="Q19"/>
      <c r="R19"/>
      <c r="S19"/>
    </row>
    <row r="20" spans="2:19" ht="21" customHeight="1">
      <c r="B20" s="495"/>
      <c r="C20" s="495"/>
      <c r="D20" s="495"/>
      <c r="E20" s="495"/>
      <c r="F20" s="495"/>
      <c r="G20" s="495"/>
      <c r="H20" s="495"/>
      <c r="I20" s="450"/>
      <c r="J20" s="706" t="s">
        <v>627</v>
      </c>
      <c r="M20"/>
      <c r="N20"/>
      <c r="O20"/>
      <c r="P20"/>
      <c r="Q20"/>
      <c r="R20"/>
      <c r="S20"/>
    </row>
    <row r="21" spans="2:19" ht="21" customHeight="1">
      <c r="B21" s="495"/>
      <c r="C21" s="495"/>
      <c r="D21" s="495"/>
      <c r="E21" s="495"/>
      <c r="F21" s="495"/>
      <c r="G21" s="495"/>
      <c r="H21" s="495"/>
      <c r="I21" s="450"/>
      <c r="J21" s="706" t="s">
        <v>627</v>
      </c>
      <c r="M21"/>
      <c r="N21"/>
      <c r="O21"/>
      <c r="P21"/>
      <c r="Q21"/>
      <c r="R21"/>
      <c r="S21"/>
    </row>
    <row r="22" spans="2:19" ht="21" customHeight="1">
      <c r="B22" s="248" t="s">
        <v>179</v>
      </c>
      <c r="C22" s="248"/>
      <c r="D22" s="248"/>
      <c r="E22" s="248"/>
      <c r="F22" s="248"/>
      <c r="G22" s="248"/>
      <c r="H22" s="407"/>
      <c r="I22" s="450"/>
      <c r="J22" s="706" t="s">
        <v>627</v>
      </c>
      <c r="M22"/>
      <c r="N22"/>
      <c r="O22"/>
      <c r="P22"/>
      <c r="Q22"/>
      <c r="R22"/>
      <c r="S22"/>
    </row>
    <row r="23" spans="2:19" ht="21" customHeight="1">
      <c r="B23" s="495"/>
      <c r="C23" s="495"/>
      <c r="D23" s="495"/>
      <c r="E23" s="495"/>
      <c r="F23" s="495"/>
      <c r="G23" s="495"/>
      <c r="H23" s="495"/>
      <c r="I23" s="450"/>
      <c r="J23" s="706" t="s">
        <v>627</v>
      </c>
      <c r="M23"/>
      <c r="N23"/>
      <c r="O23"/>
      <c r="P23"/>
      <c r="Q23"/>
      <c r="R23"/>
      <c r="S23"/>
    </row>
    <row r="24" spans="2:19" ht="21" customHeight="1" thickBot="1">
      <c r="B24" s="248" t="str">
        <f>IF('KEY INPUTS'!C42 = "State Fiscal Year", 'KEY INPUTS'!F26,'KEY INPUTS'!D26)</f>
        <v>Balance - December 31, 2024</v>
      </c>
      <c r="C24" s="248"/>
      <c r="D24" s="248"/>
      <c r="E24" s="248"/>
      <c r="F24" s="248"/>
      <c r="G24" s="248"/>
      <c r="H24" s="407"/>
      <c r="I24" s="768">
        <f>+SUM(J8:J13)-SUM(I13:I23)</f>
        <v>0</v>
      </c>
      <c r="J24" s="766" t="s">
        <v>627</v>
      </c>
      <c r="M24"/>
      <c r="N24"/>
      <c r="O24"/>
      <c r="P24"/>
      <c r="Q24"/>
      <c r="R24"/>
      <c r="S24"/>
    </row>
    <row r="25" spans="2:19" ht="21" customHeight="1" thickTop="1" thickBot="1">
      <c r="I25" s="748">
        <f>SUM(I8:I24)</f>
        <v>0</v>
      </c>
      <c r="J25" s="769">
        <f>SUM(J8:J24)</f>
        <v>0</v>
      </c>
      <c r="M25"/>
      <c r="N25"/>
      <c r="O25"/>
      <c r="P25"/>
      <c r="Q25"/>
      <c r="R25"/>
      <c r="S25"/>
    </row>
    <row r="26" spans="2:19" ht="13.8" thickTop="1"/>
    <row r="30" spans="2:19" ht="22.8">
      <c r="B30" s="1358" t="str">
        <f>UPPER('KEY INPUTS'!D$56)&amp;" UTILITY  CAPITAL  FUND"</f>
        <v xml:space="preserve"> UTILITY  CAPITAL  FUND</v>
      </c>
      <c r="C30" s="1358"/>
      <c r="D30" s="1358"/>
      <c r="E30" s="1358"/>
      <c r="F30" s="1358"/>
      <c r="G30" s="1358"/>
      <c r="H30" s="1358"/>
      <c r="I30" s="1358"/>
      <c r="J30" s="1358"/>
    </row>
    <row r="31" spans="2:19" ht="7.5" customHeight="1"/>
    <row r="32" spans="2:19" ht="15.6">
      <c r="B32" s="1360" t="s">
        <v>180</v>
      </c>
      <c r="C32" s="1360"/>
      <c r="D32" s="1360"/>
      <c r="E32" s="1360"/>
      <c r="F32" s="1360"/>
      <c r="G32" s="1360"/>
      <c r="H32" s="1360"/>
      <c r="I32" s="1360"/>
      <c r="J32" s="1360"/>
    </row>
    <row r="33" spans="2:10" ht="13.8" thickBot="1"/>
    <row r="34" spans="2:10" ht="26.25" customHeight="1" thickTop="1" thickBot="1">
      <c r="B34" s="364"/>
      <c r="C34" s="364"/>
      <c r="D34" s="364"/>
      <c r="E34" s="364"/>
      <c r="F34" s="364"/>
      <c r="G34" s="364"/>
      <c r="H34" s="364"/>
      <c r="I34" s="304" t="s">
        <v>96</v>
      </c>
      <c r="J34" s="308" t="s">
        <v>97</v>
      </c>
    </row>
    <row r="35" spans="2:10" ht="21" customHeight="1" thickTop="1">
      <c r="B35" s="313" t="str">
        <f>IF('KEY INPUTS'!C42 = "State Fiscal Year", 'KEY INPUTS'!F25,'KEY INPUTS'!D25)</f>
        <v>Balance - January 1, 2024</v>
      </c>
      <c r="C35" s="313"/>
      <c r="D35" s="313"/>
      <c r="E35" s="313"/>
      <c r="F35" s="313"/>
      <c r="G35" s="313"/>
      <c r="H35" s="409"/>
      <c r="I35" s="757" t="s">
        <v>627</v>
      </c>
      <c r="J35" s="486"/>
    </row>
    <row r="36" spans="2:10" ht="21" customHeight="1">
      <c r="B36" s="248" t="str">
        <f>"Received from "&amp;IF('KEY INPUTS'!C42="State Fiscal Year","Fiscal Year "&amp;'KEY INPUTS'!D33)&amp;" Budget Appropriation *"</f>
        <v>Received from FALSE Budget Appropriation *</v>
      </c>
      <c r="C36" s="248"/>
      <c r="D36" s="248"/>
      <c r="E36" s="248"/>
      <c r="F36" s="248"/>
      <c r="G36" s="248"/>
      <c r="H36" s="407"/>
      <c r="I36" s="702" t="s">
        <v>627</v>
      </c>
      <c r="J36" s="457"/>
    </row>
    <row r="37" spans="2:10" ht="21" customHeight="1">
      <c r="B37" s="248" t="str">
        <f>"Received from "&amp;IF('KEY INPUTS'!C42="State Fiscal Year","Fiscal Year "&amp;'KEY INPUTS'!D33)&amp;" Emergency Appropriation *"</f>
        <v>Received from FALSE Emergency Appropriation *</v>
      </c>
      <c r="C37" s="248"/>
      <c r="D37" s="248"/>
      <c r="E37" s="248"/>
      <c r="F37" s="248"/>
      <c r="G37" s="248"/>
      <c r="H37" s="407"/>
      <c r="I37" s="702" t="s">
        <v>627</v>
      </c>
      <c r="J37" s="457"/>
    </row>
    <row r="38" spans="2:10" ht="21" customHeight="1">
      <c r="B38" s="514"/>
      <c r="C38" s="869"/>
      <c r="D38" s="514"/>
      <c r="E38" s="514"/>
      <c r="F38" s="514"/>
      <c r="G38" s="514"/>
      <c r="H38" s="514"/>
      <c r="I38" s="527"/>
      <c r="J38" s="293"/>
    </row>
    <row r="39" spans="2:10" ht="21" customHeight="1">
      <c r="B39" s="248" t="s">
        <v>179</v>
      </c>
      <c r="C39" s="248"/>
      <c r="D39" s="248"/>
      <c r="E39" s="248"/>
      <c r="F39" s="248"/>
      <c r="G39" s="248"/>
      <c r="H39" s="407"/>
      <c r="I39" s="450"/>
      <c r="J39" s="706" t="s">
        <v>627</v>
      </c>
    </row>
    <row r="40" spans="2:10" ht="21" customHeight="1">
      <c r="B40" s="495"/>
      <c r="C40" s="495"/>
      <c r="D40" s="495"/>
      <c r="E40" s="495"/>
      <c r="F40" s="495"/>
      <c r="G40" s="495"/>
      <c r="H40" s="495"/>
      <c r="I40" s="450"/>
      <c r="J40" s="706" t="s">
        <v>627</v>
      </c>
    </row>
    <row r="41" spans="2:10" ht="21" customHeight="1" thickBot="1">
      <c r="B41" s="248" t="str">
        <f>IF('KEY INPUTS'!C42 = "State Fiscal Year", 'KEY INPUTS'!F26,'KEY INPUTS'!D26)</f>
        <v>Balance - December 31, 2024</v>
      </c>
      <c r="C41" s="248"/>
      <c r="D41" s="248"/>
      <c r="E41" s="248"/>
      <c r="F41" s="248"/>
      <c r="G41" s="248"/>
      <c r="H41" s="407"/>
      <c r="I41" s="870">
        <f>SUM(J35:J38)-SUM(I38:I40)</f>
        <v>0</v>
      </c>
      <c r="J41" s="766" t="s">
        <v>627</v>
      </c>
    </row>
    <row r="42" spans="2:10" ht="21" customHeight="1" thickTop="1" thickBot="1">
      <c r="I42" s="748">
        <f>SUM(I35:I41)</f>
        <v>0</v>
      </c>
      <c r="J42" s="924">
        <f>SUM(J35:J41)</f>
        <v>0</v>
      </c>
    </row>
    <row r="43" spans="2:10" ht="21" customHeight="1" thickTop="1">
      <c r="I43" s="176"/>
      <c r="J43" s="176"/>
    </row>
    <row r="44" spans="2:10" ht="21" customHeight="1"/>
    <row r="45" spans="2:10" ht="13.5" customHeight="1">
      <c r="B45" s="359" t="str">
        <f>"*The full amount of the "&amp;IF('KEY INPUTS'!C42="State Fiscal Year","Fiscal Year "&amp;'KEY INPUTS'!D33)&amp;" budget appropriation should be transferred to this account unless the balance of"</f>
        <v>*The full amount of the FALSE budget appropriation should be transferred to this account unless the balance of</v>
      </c>
      <c r="C45" s="359"/>
    </row>
    <row r="46" spans="2:10" ht="13.5" customHeight="1">
      <c r="B46" s="359"/>
      <c r="C46" s="359" t="s">
        <v>3581</v>
      </c>
    </row>
    <row r="47" spans="2:10" ht="13.5" customHeight="1">
      <c r="B47" s="359"/>
      <c r="C47" s="359"/>
    </row>
    <row r="48" spans="2:10" ht="13.5" customHeight="1">
      <c r="B48" s="359"/>
      <c r="C48" s="359"/>
    </row>
    <row r="49" spans="2:10" ht="13.5" customHeight="1">
      <c r="B49" s="359"/>
      <c r="C49" s="359"/>
    </row>
    <row r="50" spans="2:10" ht="13.5" customHeight="1">
      <c r="B50" s="359"/>
      <c r="C50" s="359"/>
    </row>
    <row r="51" spans="2:10" ht="13.5" customHeight="1">
      <c r="B51" s="359"/>
      <c r="C51" s="359"/>
    </row>
    <row r="52" spans="2:10" ht="13.5" customHeight="1">
      <c r="B52" s="359"/>
      <c r="C52" s="359"/>
    </row>
    <row r="53" spans="2:10" ht="13.5" customHeight="1">
      <c r="B53" s="359"/>
      <c r="C53" s="359"/>
    </row>
    <row r="54" spans="2:10" ht="13.8">
      <c r="B54" s="1353" t="s">
        <v>3172</v>
      </c>
      <c r="C54" s="1353"/>
      <c r="D54" s="1353"/>
      <c r="E54" s="1353"/>
      <c r="F54" s="1353"/>
      <c r="G54" s="1353"/>
      <c r="H54" s="1353"/>
      <c r="I54" s="1353"/>
      <c r="J54" s="1353"/>
    </row>
  </sheetData>
  <sheetProtection algorithmName="SHA-512" hashValue="6qZ7XQTJTl7/gwbtObAqZiv2+vAcbdUmzzFbzTO+PGPVEkDsOkOSTNMBEV5is3PGARZz1vIC6Y1vjWiSkzRI3g==" saltValue="cqZpiVnydKqNPXX5tGk4/w=="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E3515-D7CC-45E4-9BFA-0F18D3884A72}">
  <sheetPr codeName="Sheet223">
    <tabColor theme="5" tint="0.59999389629810485"/>
  </sheetPr>
  <dimension ref="B1:AC52"/>
  <sheetViews>
    <sheetView zoomScaleNormal="100" zoomScaleSheetLayoutView="80" workbookViewId="0">
      <selection activeCell="K48" sqref="K48"/>
    </sheetView>
  </sheetViews>
  <sheetFormatPr defaultColWidth="8.88671875" defaultRowHeight="13.2"/>
  <cols>
    <col min="1" max="3" width="4.6640625" style="267" customWidth="1"/>
    <col min="4" max="4" width="4.5546875" style="267" customWidth="1"/>
    <col min="5" max="5" width="8.88671875" style="267"/>
    <col min="6" max="6" width="6.6640625" style="267" customWidth="1"/>
    <col min="7" max="10" width="16.6640625" style="267" customWidth="1"/>
    <col min="11" max="20" width="8.88671875" style="267"/>
    <col min="21" max="23" width="4.6640625" customWidth="1"/>
    <col min="25" max="25" width="6.6640625" customWidth="1"/>
    <col min="26" max="29" width="16.6640625" customWidth="1"/>
    <col min="30" max="16384" width="8.88671875" style="267"/>
  </cols>
  <sheetData>
    <row r="1" spans="2:19">
      <c r="D1" s="359"/>
      <c r="E1" s="359"/>
    </row>
    <row r="2" spans="2:19">
      <c r="D2" s="359"/>
      <c r="E2" s="359"/>
    </row>
    <row r="3" spans="2:19" ht="24.6">
      <c r="B3" s="1460" t="str">
        <f>UPPER('KEY INPUTS'!D$56)&amp;" UTILITY FUND"</f>
        <v xml:space="preserve"> UTILITY FUND</v>
      </c>
      <c r="C3" s="1460"/>
      <c r="D3" s="1460"/>
      <c r="E3" s="1460"/>
      <c r="F3" s="1460"/>
      <c r="G3" s="1460"/>
      <c r="H3" s="1460"/>
      <c r="I3" s="1460"/>
      <c r="J3" s="1460"/>
    </row>
    <row r="5" spans="2:19" ht="17.399999999999999">
      <c r="B5" s="1380" t="str">
        <f>"CAPITAL  IMPROVEMENTS  AUTHORIZED  IN  "&amp;IF('KEY INPUTS'!C42="State Fiscal Year","FISCAL  YEAR  "&amp;'KEY INPUTS'!D33&amp;"",'KEY INPUTS'!D34+1)&amp;""</f>
        <v>CAPITAL  IMPROVEMENTS  AUTHORIZED  IN  2025</v>
      </c>
      <c r="C5" s="1380"/>
      <c r="D5" s="1380"/>
      <c r="E5" s="1380"/>
      <c r="F5" s="1380"/>
      <c r="G5" s="1380"/>
      <c r="H5" s="1380"/>
      <c r="I5" s="1380"/>
      <c r="J5" s="1380"/>
    </row>
    <row r="6" spans="2:19" ht="17.399999999999999">
      <c r="B6" s="1380" t="s">
        <v>3569</v>
      </c>
      <c r="C6" s="1380"/>
      <c r="D6" s="1380"/>
      <c r="E6" s="1380"/>
      <c r="F6" s="1380"/>
      <c r="G6" s="1380"/>
      <c r="H6" s="1380"/>
      <c r="I6" s="1380"/>
      <c r="J6" s="1380"/>
    </row>
    <row r="7" spans="2:19" ht="13.8" thickBot="1"/>
    <row r="8" spans="2:19" ht="13.8" thickTop="1">
      <c r="B8" s="323"/>
      <c r="C8" s="323"/>
      <c r="D8" s="323"/>
      <c r="E8" s="323"/>
      <c r="F8" s="323"/>
      <c r="G8" s="324"/>
      <c r="H8" s="324"/>
      <c r="I8" s="324"/>
      <c r="J8" s="353" t="s">
        <v>240</v>
      </c>
    </row>
    <row r="9" spans="2:19">
      <c r="C9" s="1352" t="s">
        <v>413</v>
      </c>
      <c r="D9" s="1352"/>
      <c r="E9" s="1352"/>
      <c r="G9" s="320" t="s">
        <v>414</v>
      </c>
      <c r="H9" s="320" t="s">
        <v>201</v>
      </c>
      <c r="I9" s="320" t="s">
        <v>204</v>
      </c>
      <c r="J9" s="302" t="s">
        <v>241</v>
      </c>
    </row>
    <row r="10" spans="2:19">
      <c r="G10" s="320" t="s">
        <v>202</v>
      </c>
      <c r="H10" s="320" t="s">
        <v>203</v>
      </c>
      <c r="I10" s="320" t="s">
        <v>205</v>
      </c>
      <c r="J10" s="302" t="str">
        <f>"of " &amp;IF('KEY INPUTS'!C42="State Fiscal Year","FY "&amp;'KEY INPUTS'!D33&amp;"",'KEY INPUTS'!D34+1)&amp;" or"</f>
        <v>of 2025 or</v>
      </c>
    </row>
    <row r="11" spans="2:19" ht="13.8" thickBot="1">
      <c r="B11" s="318"/>
      <c r="C11" s="318"/>
      <c r="D11" s="318"/>
      <c r="E11" s="318"/>
      <c r="F11" s="318"/>
      <c r="G11" s="317"/>
      <c r="H11" s="317" t="s">
        <v>441</v>
      </c>
      <c r="I11" s="317" t="s">
        <v>239</v>
      </c>
      <c r="J11" s="416" t="s">
        <v>3579</v>
      </c>
      <c r="M11"/>
      <c r="N11"/>
      <c r="O11"/>
      <c r="P11"/>
      <c r="Q11"/>
      <c r="R11"/>
      <c r="S11"/>
    </row>
    <row r="12" spans="2:19" ht="21" customHeight="1" thickTop="1">
      <c r="B12" s="518"/>
      <c r="C12" s="518"/>
      <c r="D12" s="518"/>
      <c r="E12" s="518"/>
      <c r="F12" s="518"/>
      <c r="G12" s="454"/>
      <c r="H12" s="454"/>
      <c r="I12" s="454"/>
      <c r="J12" s="486"/>
      <c r="M12"/>
      <c r="N12"/>
      <c r="O12"/>
      <c r="P12"/>
      <c r="Q12"/>
      <c r="R12"/>
      <c r="S12"/>
    </row>
    <row r="13" spans="2:19" ht="21" customHeight="1">
      <c r="B13" s="495"/>
      <c r="C13" s="495"/>
      <c r="D13" s="495"/>
      <c r="E13" s="495"/>
      <c r="F13" s="495"/>
      <c r="G13" s="450"/>
      <c r="H13" s="450"/>
      <c r="I13" s="450"/>
      <c r="J13" s="457"/>
      <c r="M13" s="294"/>
      <c r="N13"/>
      <c r="O13"/>
      <c r="P13"/>
      <c r="Q13"/>
      <c r="R13"/>
      <c r="S13"/>
    </row>
    <row r="14" spans="2:19" ht="21" customHeight="1">
      <c r="B14" s="495"/>
      <c r="C14" s="495"/>
      <c r="D14" s="495"/>
      <c r="E14" s="495"/>
      <c r="F14" s="495"/>
      <c r="G14" s="450"/>
      <c r="H14" s="450"/>
      <c r="I14" s="450"/>
      <c r="J14" s="457"/>
      <c r="M14"/>
      <c r="N14"/>
      <c r="O14"/>
      <c r="P14"/>
      <c r="Q14"/>
      <c r="R14"/>
      <c r="S14"/>
    </row>
    <row r="15" spans="2:19" ht="21" customHeight="1">
      <c r="B15" s="495"/>
      <c r="C15" s="495"/>
      <c r="D15" s="495"/>
      <c r="E15" s="495"/>
      <c r="F15" s="495"/>
      <c r="G15" s="450"/>
      <c r="H15" s="450"/>
      <c r="I15" s="450"/>
      <c r="J15" s="457"/>
      <c r="M15"/>
      <c r="N15"/>
      <c r="O15"/>
      <c r="P15"/>
      <c r="Q15"/>
      <c r="R15"/>
      <c r="S15"/>
    </row>
    <row r="16" spans="2:19" ht="21" customHeight="1">
      <c r="B16" s="495"/>
      <c r="C16" s="495"/>
      <c r="D16" s="495"/>
      <c r="E16" s="495"/>
      <c r="F16" s="495"/>
      <c r="G16" s="450"/>
      <c r="H16" s="450"/>
      <c r="I16" s="450"/>
      <c r="J16" s="457"/>
      <c r="M16"/>
      <c r="N16"/>
      <c r="O16"/>
      <c r="P16"/>
      <c r="Q16"/>
      <c r="R16"/>
      <c r="S16"/>
    </row>
    <row r="17" spans="2:19" ht="21" customHeight="1">
      <c r="B17" s="495"/>
      <c r="C17" s="495"/>
      <c r="D17" s="495"/>
      <c r="E17" s="495"/>
      <c r="F17" s="495"/>
      <c r="G17" s="450"/>
      <c r="H17" s="450"/>
      <c r="I17" s="450"/>
      <c r="J17" s="457"/>
      <c r="M17"/>
      <c r="N17"/>
      <c r="O17"/>
      <c r="P17"/>
      <c r="Q17"/>
      <c r="R17"/>
      <c r="S17"/>
    </row>
    <row r="18" spans="2:19" ht="21" customHeight="1">
      <c r="B18" s="495"/>
      <c r="C18" s="495"/>
      <c r="D18" s="495"/>
      <c r="E18" s="495"/>
      <c r="F18" s="495"/>
      <c r="G18" s="450"/>
      <c r="H18" s="450"/>
      <c r="I18" s="450"/>
      <c r="J18" s="457"/>
      <c r="M18"/>
      <c r="N18"/>
      <c r="O18"/>
      <c r="P18"/>
      <c r="Q18"/>
      <c r="R18"/>
      <c r="S18"/>
    </row>
    <row r="19" spans="2:19" ht="21" customHeight="1">
      <c r="B19" s="495"/>
      <c r="C19" s="495"/>
      <c r="D19" s="495"/>
      <c r="E19" s="495"/>
      <c r="F19" s="495"/>
      <c r="G19" s="450"/>
      <c r="H19" s="450"/>
      <c r="I19" s="450"/>
      <c r="J19" s="457"/>
      <c r="M19"/>
      <c r="N19"/>
      <c r="O19"/>
      <c r="P19"/>
      <c r="Q19"/>
      <c r="R19"/>
      <c r="S19"/>
    </row>
    <row r="20" spans="2:19" ht="21" customHeight="1">
      <c r="B20" s="495"/>
      <c r="C20" s="495"/>
      <c r="D20" s="495"/>
      <c r="E20" s="495"/>
      <c r="F20" s="495"/>
      <c r="G20" s="450"/>
      <c r="H20" s="450"/>
      <c r="I20" s="450"/>
      <c r="J20" s="457"/>
      <c r="M20"/>
      <c r="N20"/>
      <c r="O20"/>
      <c r="P20"/>
      <c r="Q20"/>
      <c r="R20"/>
      <c r="S20"/>
    </row>
    <row r="21" spans="2:19" ht="21" customHeight="1" thickBot="1">
      <c r="B21" s="495"/>
      <c r="C21" s="495"/>
      <c r="D21" s="495"/>
      <c r="E21" s="495"/>
      <c r="F21" s="495"/>
      <c r="G21" s="475"/>
      <c r="H21" s="475"/>
      <c r="I21" s="475"/>
      <c r="J21" s="516"/>
      <c r="M21"/>
      <c r="N21"/>
      <c r="O21"/>
      <c r="P21"/>
      <c r="Q21"/>
      <c r="R21"/>
      <c r="S21"/>
    </row>
    <row r="22" spans="2:19" ht="21" customHeight="1" thickTop="1" thickBot="1">
      <c r="B22" s="318"/>
      <c r="C22" s="318"/>
      <c r="D22" s="318"/>
      <c r="E22" s="318"/>
      <c r="F22" s="318"/>
      <c r="G22" s="785">
        <f>SUM(G12:G21)</f>
        <v>0</v>
      </c>
      <c r="H22" s="785">
        <f>SUM(H12:H21)</f>
        <v>0</v>
      </c>
      <c r="I22" s="785">
        <f>SUM(I12:I21)</f>
        <v>0</v>
      </c>
      <c r="J22" s="917">
        <f>SUM(J12:J21)</f>
        <v>0</v>
      </c>
      <c r="M22"/>
      <c r="N22"/>
      <c r="O22"/>
      <c r="P22"/>
      <c r="Q22"/>
      <c r="R22"/>
      <c r="S22"/>
    </row>
    <row r="23" spans="2:19" ht="13.8" thickTop="1">
      <c r="M23"/>
      <c r="N23"/>
      <c r="O23"/>
      <c r="P23"/>
      <c r="Q23"/>
      <c r="R23"/>
      <c r="S23"/>
    </row>
    <row r="24" spans="2:19">
      <c r="M24"/>
      <c r="N24"/>
      <c r="O24"/>
      <c r="P24"/>
      <c r="Q24"/>
      <c r="R24"/>
      <c r="S24"/>
    </row>
    <row r="25" spans="2:19">
      <c r="M25"/>
      <c r="N25"/>
      <c r="O25"/>
      <c r="P25"/>
      <c r="Q25"/>
      <c r="R25"/>
      <c r="S25"/>
    </row>
    <row r="26" spans="2:19">
      <c r="M26"/>
      <c r="N26"/>
      <c r="O26"/>
      <c r="P26"/>
      <c r="Q26"/>
      <c r="R26"/>
      <c r="S26"/>
    </row>
    <row r="27" spans="2:19">
      <c r="M27"/>
      <c r="N27"/>
      <c r="O27"/>
      <c r="P27"/>
      <c r="Q27"/>
      <c r="R27"/>
      <c r="S27"/>
    </row>
    <row r="28" spans="2:19" ht="22.8">
      <c r="B28" s="1358" t="str">
        <f>UPPER('KEY INPUTS'!D$56)&amp;" UTILITY  CAPITAL  FUND"</f>
        <v xml:space="preserve"> UTILITY  CAPITAL  FUND</v>
      </c>
      <c r="C28" s="1358"/>
      <c r="D28" s="1358"/>
      <c r="E28" s="1358"/>
      <c r="F28" s="1358"/>
      <c r="G28" s="1358"/>
      <c r="H28" s="1358"/>
      <c r="I28" s="1358"/>
      <c r="J28" s="1358"/>
    </row>
    <row r="29" spans="2:19" ht="22.8">
      <c r="B29" s="1358" t="s">
        <v>154</v>
      </c>
      <c r="C29" s="1358"/>
      <c r="D29" s="1358"/>
      <c r="E29" s="1358"/>
      <c r="F29" s="1358"/>
      <c r="G29" s="1358"/>
      <c r="H29" s="1358"/>
      <c r="I29" s="1358"/>
      <c r="J29" s="1358"/>
    </row>
    <row r="31" spans="2:19" ht="15.6">
      <c r="B31" s="1354" t="str">
        <f>IF('KEY INPUTS'!C42="State Fiscal Year",(UPPER("Fiscal Year "&amp;'KEY INPUTS'!D33))&amp;"",'KEY INPUTS'!D34+1)&amp;""</f>
        <v>2025</v>
      </c>
      <c r="C31" s="1354"/>
      <c r="D31" s="1354"/>
      <c r="E31" s="1354"/>
      <c r="F31" s="1354"/>
      <c r="G31" s="1354"/>
      <c r="H31" s="1354"/>
      <c r="I31" s="1354"/>
      <c r="J31" s="1354"/>
    </row>
    <row r="32" spans="2:19" ht="13.8" thickBot="1"/>
    <row r="33" spans="2:10" ht="28.5" customHeight="1" thickTop="1" thickBot="1">
      <c r="B33" s="364"/>
      <c r="C33" s="364"/>
      <c r="D33" s="364"/>
      <c r="E33" s="364"/>
      <c r="F33" s="364"/>
      <c r="G33" s="364"/>
      <c r="H33" s="364"/>
      <c r="I33" s="304" t="s">
        <v>96</v>
      </c>
      <c r="J33" s="308" t="s">
        <v>97</v>
      </c>
    </row>
    <row r="34" spans="2:10" ht="21" customHeight="1" thickTop="1">
      <c r="B34" s="547" t="str">
        <f>IF('KEY INPUTS'!C42 = "State Fiscal Year", 'KEY INPUTS'!F25,'KEY INPUTS'!D25)</f>
        <v>Balance - January 1, 2024</v>
      </c>
      <c r="C34" s="313"/>
      <c r="D34" s="313"/>
      <c r="E34" s="313"/>
      <c r="F34" s="313"/>
      <c r="G34" s="313"/>
      <c r="H34" s="313"/>
      <c r="I34" s="801" t="s">
        <v>627</v>
      </c>
      <c r="J34" s="485"/>
    </row>
    <row r="35" spans="2:10" ht="21" customHeight="1">
      <c r="B35" s="248" t="s">
        <v>155</v>
      </c>
      <c r="C35" s="248"/>
      <c r="D35" s="248"/>
      <c r="E35" s="248"/>
      <c r="F35" s="248"/>
      <c r="G35" s="248"/>
      <c r="H35" s="248"/>
      <c r="I35" s="804" t="s">
        <v>627</v>
      </c>
      <c r="J35" s="429"/>
    </row>
    <row r="36" spans="2:10" ht="21" customHeight="1">
      <c r="B36" s="248" t="s">
        <v>156</v>
      </c>
      <c r="C36" s="248"/>
      <c r="D36" s="248"/>
      <c r="E36" s="248"/>
      <c r="F36" s="248"/>
      <c r="G36" s="248"/>
      <c r="H36" s="248"/>
      <c r="I36" s="804" t="s">
        <v>627</v>
      </c>
      <c r="J36" s="429"/>
    </row>
    <row r="37" spans="2:10" ht="21" customHeight="1">
      <c r="B37" s="495" t="s">
        <v>3212</v>
      </c>
      <c r="C37" s="495"/>
      <c r="D37" s="495"/>
      <c r="E37" s="495"/>
      <c r="F37" s="495"/>
      <c r="G37" s="495"/>
      <c r="H37" s="495"/>
      <c r="I37" s="291"/>
      <c r="J37" s="429"/>
    </row>
    <row r="38" spans="2:10" ht="21" customHeight="1">
      <c r="B38" s="495"/>
      <c r="C38" s="495"/>
      <c r="D38" s="495"/>
      <c r="E38" s="495"/>
      <c r="F38" s="495"/>
      <c r="G38" s="495"/>
      <c r="H38" s="495"/>
      <c r="I38" s="291"/>
      <c r="J38" s="429"/>
    </row>
    <row r="39" spans="2:10" ht="21" customHeight="1">
      <c r="B39" s="495"/>
      <c r="C39" s="495"/>
      <c r="D39" s="495"/>
      <c r="E39" s="495"/>
      <c r="F39" s="495"/>
      <c r="G39" s="495"/>
      <c r="H39" s="495"/>
      <c r="I39" s="291"/>
      <c r="J39" s="429"/>
    </row>
    <row r="40" spans="2:10" ht="21" customHeight="1">
      <c r="B40" s="248" t="s">
        <v>3174</v>
      </c>
      <c r="C40" s="248"/>
      <c r="D40" s="248"/>
      <c r="E40" s="248"/>
      <c r="F40" s="248"/>
      <c r="G40" s="248"/>
      <c r="H40" s="248"/>
      <c r="I40" s="291"/>
      <c r="J40" s="885" t="s">
        <v>627</v>
      </c>
    </row>
    <row r="41" spans="2:10" ht="21" customHeight="1">
      <c r="B41" s="248" t="str">
        <f>"Appropriation to "&amp;IF('KEY INPUTS'!C42="State Fiscal Year","Fiscal Year "&amp;'KEY INPUTS'!D33&amp;"",'KEY INPUTS'!D34+1)&amp;" Budget Reserve"</f>
        <v>Appropriation to 2025 Budget Reserve</v>
      </c>
      <c r="C41" s="248"/>
      <c r="D41" s="248"/>
      <c r="E41" s="248"/>
      <c r="F41" s="248"/>
      <c r="G41" s="414"/>
      <c r="H41" s="248"/>
      <c r="I41" s="426"/>
      <c r="J41" s="885" t="s">
        <v>627</v>
      </c>
    </row>
    <row r="42" spans="2:10" ht="21" customHeight="1">
      <c r="B42" s="248" t="str">
        <f>IF('KEY INPUTS'!C42 = "State Fiscal Year", 'KEY INPUTS'!F26,'KEY INPUTS'!D26)</f>
        <v>Balance - December 31, 2024</v>
      </c>
      <c r="C42" s="248"/>
      <c r="D42" s="248"/>
      <c r="E42" s="248"/>
      <c r="F42" s="248"/>
      <c r="G42" s="248"/>
      <c r="H42" s="248"/>
      <c r="I42" s="629">
        <f>SUM(J34:J39)-SUM(I37:I41)</f>
        <v>0</v>
      </c>
      <c r="J42" s="885" t="s">
        <v>627</v>
      </c>
    </row>
    <row r="43" spans="2:10" ht="21" customHeight="1" thickBot="1">
      <c r="I43" s="770">
        <f>SUM(I34:I42)</f>
        <v>0</v>
      </c>
      <c r="J43" s="918">
        <f>SUM(J34:J42)</f>
        <v>0</v>
      </c>
    </row>
    <row r="44" spans="2:10" ht="21" customHeight="1" thickTop="1"/>
    <row r="45" spans="2:10" ht="21" customHeight="1"/>
    <row r="46" spans="2:10" ht="21" customHeight="1"/>
    <row r="47" spans="2:10" ht="21" customHeight="1"/>
    <row r="48" spans="2:10" ht="21" customHeight="1"/>
    <row r="49" spans="2:10" ht="21" customHeight="1"/>
    <row r="52" spans="2:10" ht="13.8">
      <c r="B52" s="1353" t="s">
        <v>3173</v>
      </c>
      <c r="C52" s="1353"/>
      <c r="D52" s="1353"/>
      <c r="E52" s="1353"/>
      <c r="F52" s="1353"/>
      <c r="G52" s="1353"/>
      <c r="H52" s="1353"/>
      <c r="I52" s="1353"/>
      <c r="J52" s="1353"/>
    </row>
  </sheetData>
  <sheetProtection algorithmName="SHA-512" hashValue="UUXhsZbzwez8FjjXoLt31nuxRF7byaCq07VDeNTh5pIAeQG4lMgS0MxClzTig1Ig+MASNjjCCbkX4fCcC3k8ng==" saltValue="1z6tGDnMM1EbPJbFn32HZA==" spinCount="100000"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FE861-53B5-42CE-8B44-55B7FB9D27CA}">
  <sheetPr codeName="Sheet224">
    <tabColor theme="2" tint="-0.249977111117893"/>
  </sheetPr>
  <dimension ref="B2:R57"/>
  <sheetViews>
    <sheetView topLeftCell="A22" zoomScaleNormal="100" zoomScaleSheetLayoutView="80" workbookViewId="0">
      <selection activeCell="N39" sqref="N39"/>
    </sheetView>
  </sheetViews>
  <sheetFormatPr defaultColWidth="8.88671875" defaultRowHeight="13.2"/>
  <cols>
    <col min="1" max="1" width="4.6640625" style="267" customWidth="1"/>
    <col min="2" max="2" width="4.88671875" style="267" customWidth="1"/>
    <col min="3" max="4" width="4.6640625" style="267" customWidth="1"/>
    <col min="5" max="5" width="30.6640625" style="267" customWidth="1"/>
    <col min="6" max="6" width="15.6640625" style="267" customWidth="1"/>
    <col min="7" max="8" width="16.6640625" style="267" customWidth="1"/>
    <col min="9" max="9" width="3.6640625" style="267" bestFit="1" customWidth="1"/>
    <col min="10" max="10" width="13.5546875" style="267" bestFit="1" customWidth="1"/>
    <col min="11" max="16384" width="8.88671875" style="267"/>
  </cols>
  <sheetData>
    <row r="2" spans="2:18">
      <c r="B2" s="1357" t="s">
        <v>35</v>
      </c>
      <c r="C2" s="1357"/>
      <c r="D2" s="1357"/>
      <c r="E2" s="1357"/>
      <c r="F2" s="1357"/>
      <c r="G2" s="1357"/>
      <c r="H2" s="1357"/>
    </row>
    <row r="3" spans="2:18">
      <c r="B3" s="1357" t="s">
        <v>449</v>
      </c>
      <c r="C3" s="1357"/>
      <c r="D3" s="1357"/>
      <c r="E3" s="1357"/>
      <c r="F3" s="1357"/>
      <c r="G3" s="1357"/>
      <c r="H3" s="1357"/>
    </row>
    <row r="5" spans="2:18" ht="22.8">
      <c r="B5" s="1358" t="s">
        <v>424</v>
      </c>
      <c r="C5" s="1358"/>
      <c r="D5" s="1358"/>
      <c r="E5" s="1358"/>
      <c r="F5" s="1358"/>
      <c r="G5" s="1358"/>
      <c r="H5" s="1358"/>
    </row>
    <row r="6" spans="2:18" ht="22.8">
      <c r="B6" s="1358" t="str">
        <f>"TRIAL  BALANCE - "&amp;UPPER('KEY INPUTS'!D57)&amp;"  UTILITY  FUND"</f>
        <v>TRIAL  BALANCE -   UTILITY  FUND</v>
      </c>
      <c r="C6" s="1358"/>
      <c r="D6" s="1358"/>
      <c r="E6" s="1358"/>
      <c r="F6" s="1358"/>
      <c r="G6" s="1358"/>
      <c r="H6" s="1358"/>
    </row>
    <row r="7" spans="2:18" ht="15.6">
      <c r="B7" s="1359" t="str">
        <f>IF('KEY INPUTS'!C42 = "State Fiscal Year", 'KEY INPUTS'!F45,'KEY INPUTS'!D45)</f>
        <v>AS  AT  DECEMBER  31, 2024</v>
      </c>
      <c r="C7" s="1360"/>
      <c r="D7" s="1360"/>
      <c r="E7" s="1360"/>
      <c r="F7" s="1360"/>
      <c r="G7" s="1360"/>
      <c r="H7" s="1360"/>
    </row>
    <row r="8" spans="2:18" ht="15.6">
      <c r="B8" s="1354" t="s">
        <v>450</v>
      </c>
      <c r="C8" s="1354"/>
      <c r="D8" s="1354"/>
      <c r="E8" s="1354"/>
      <c r="F8" s="1354"/>
      <c r="G8" s="1354"/>
      <c r="H8" s="1354"/>
    </row>
    <row r="9" spans="2:18">
      <c r="B9" s="1355" t="s">
        <v>70</v>
      </c>
      <c r="C9" s="1355"/>
      <c r="D9" s="1355"/>
      <c r="E9" s="1355"/>
      <c r="F9" s="1355"/>
      <c r="G9" s="1355"/>
      <c r="H9" s="1355"/>
    </row>
    <row r="10" spans="2:18" ht="15" customHeight="1" thickBot="1">
      <c r="B10" s="1356" t="s">
        <v>71</v>
      </c>
      <c r="C10" s="1356"/>
      <c r="D10" s="1356"/>
      <c r="E10" s="1356"/>
      <c r="F10" s="1356"/>
      <c r="G10" s="1356"/>
      <c r="H10" s="1356"/>
    </row>
    <row r="11" spans="2:18" ht="36" customHeight="1" thickTop="1" thickBot="1">
      <c r="B11" s="1350" t="s">
        <v>95</v>
      </c>
      <c r="C11" s="1350"/>
      <c r="D11" s="1350"/>
      <c r="E11" s="1350"/>
      <c r="F11" s="1351"/>
      <c r="G11" s="304" t="s">
        <v>96</v>
      </c>
      <c r="H11" s="308" t="s">
        <v>97</v>
      </c>
      <c r="L11"/>
      <c r="M11"/>
      <c r="N11"/>
      <c r="O11"/>
      <c r="P11"/>
      <c r="Q11"/>
      <c r="R11"/>
    </row>
    <row r="12" spans="2:18" ht="21" customHeight="1" thickTop="1">
      <c r="G12" s="775"/>
      <c r="H12" s="776"/>
      <c r="L12"/>
      <c r="M12"/>
      <c r="N12"/>
      <c r="O12"/>
      <c r="P12"/>
      <c r="Q12"/>
      <c r="R12"/>
    </row>
    <row r="13" spans="2:18" ht="21" customHeight="1">
      <c r="B13" s="248" t="s">
        <v>194</v>
      </c>
      <c r="C13" s="248"/>
      <c r="D13" s="248"/>
      <c r="E13" s="248"/>
      <c r="F13" s="248"/>
      <c r="G13" s="450"/>
      <c r="H13" s="457"/>
      <c r="J13" s="573"/>
      <c r="L13" s="294"/>
      <c r="M13"/>
      <c r="N13"/>
      <c r="O13"/>
      <c r="P13"/>
      <c r="Q13"/>
      <c r="R13"/>
    </row>
    <row r="14" spans="2:18" ht="21" customHeight="1">
      <c r="B14" s="495" t="s">
        <v>315</v>
      </c>
      <c r="C14" s="495"/>
      <c r="D14" s="495"/>
      <c r="E14" s="495"/>
      <c r="F14" s="499"/>
      <c r="G14" s="450"/>
      <c r="H14" s="457"/>
      <c r="J14" s="573"/>
      <c r="L14"/>
      <c r="M14"/>
      <c r="N14"/>
      <c r="O14"/>
      <c r="P14"/>
      <c r="Q14"/>
      <c r="R14"/>
    </row>
    <row r="15" spans="2:18" ht="21" customHeight="1">
      <c r="B15" s="496"/>
      <c r="C15" s="496"/>
      <c r="D15" s="496"/>
      <c r="E15" s="496"/>
      <c r="F15" s="496"/>
      <c r="G15" s="450"/>
      <c r="H15" s="457"/>
      <c r="L15"/>
      <c r="M15"/>
      <c r="N15"/>
      <c r="O15"/>
      <c r="P15"/>
      <c r="Q15"/>
      <c r="R15"/>
    </row>
    <row r="16" spans="2:18" ht="21" customHeight="1">
      <c r="B16" s="495" t="s">
        <v>3213</v>
      </c>
      <c r="C16" s="495"/>
      <c r="D16" s="495"/>
      <c r="E16" s="495"/>
      <c r="F16" s="495"/>
      <c r="G16" s="772"/>
      <c r="H16" s="772"/>
      <c r="L16"/>
      <c r="M16"/>
      <c r="N16"/>
      <c r="O16"/>
      <c r="P16"/>
      <c r="Q16"/>
      <c r="R16"/>
    </row>
    <row r="17" spans="2:18" ht="21" customHeight="1">
      <c r="B17" s="495" t="s">
        <v>3213</v>
      </c>
      <c r="C17" s="495"/>
      <c r="D17" s="495"/>
      <c r="E17" s="495"/>
      <c r="F17" s="495"/>
      <c r="G17" s="772"/>
      <c r="H17" s="772"/>
      <c r="L17"/>
      <c r="M17"/>
      <c r="N17"/>
      <c r="O17"/>
      <c r="P17"/>
      <c r="Q17"/>
      <c r="R17"/>
    </row>
    <row r="18" spans="2:18" ht="21" customHeight="1">
      <c r="B18" s="495"/>
      <c r="C18" s="495"/>
      <c r="D18" s="495"/>
      <c r="E18" s="495"/>
      <c r="F18" s="495"/>
      <c r="G18" s="772"/>
      <c r="H18" s="772"/>
      <c r="L18"/>
      <c r="M18"/>
      <c r="N18"/>
      <c r="O18"/>
      <c r="P18"/>
      <c r="Q18"/>
      <c r="R18"/>
    </row>
    <row r="19" spans="2:18" ht="21" customHeight="1">
      <c r="B19" s="385" t="s">
        <v>3202</v>
      </c>
      <c r="G19" s="777"/>
      <c r="H19" s="376"/>
      <c r="L19"/>
      <c r="M19"/>
      <c r="N19"/>
      <c r="O19"/>
      <c r="P19"/>
      <c r="Q19"/>
      <c r="R19"/>
    </row>
    <row r="20" spans="2:18" ht="21" customHeight="1">
      <c r="B20" s="248" t="s">
        <v>3203</v>
      </c>
      <c r="C20" s="248"/>
      <c r="D20" s="248"/>
      <c r="E20" s="248"/>
      <c r="F20" s="248"/>
      <c r="G20" s="778">
        <f>+'47-Utility4'!L24</f>
        <v>0</v>
      </c>
      <c r="H20" s="779"/>
      <c r="L20"/>
      <c r="M20"/>
      <c r="N20"/>
      <c r="O20"/>
      <c r="P20"/>
      <c r="Q20"/>
      <c r="R20"/>
    </row>
    <row r="21" spans="2:18" ht="21" customHeight="1">
      <c r="B21" s="248" t="s">
        <v>3204</v>
      </c>
      <c r="C21" s="248"/>
      <c r="D21" s="248"/>
      <c r="E21" s="248"/>
      <c r="F21" s="248"/>
      <c r="G21" s="533">
        <f>+'47-Utility4'!L54</f>
        <v>0</v>
      </c>
      <c r="L21"/>
      <c r="M21"/>
      <c r="N21"/>
      <c r="O21"/>
      <c r="P21"/>
      <c r="Q21"/>
      <c r="R21"/>
    </row>
    <row r="22" spans="2:18" ht="21" customHeight="1">
      <c r="B22" s="495"/>
      <c r="C22" s="495"/>
      <c r="D22" s="495"/>
      <c r="E22" s="495"/>
      <c r="F22" s="495"/>
      <c r="G22" s="450"/>
      <c r="H22" s="457"/>
      <c r="L22"/>
      <c r="M22"/>
      <c r="N22"/>
      <c r="O22"/>
      <c r="P22"/>
      <c r="Q22"/>
      <c r="R22"/>
    </row>
    <row r="23" spans="2:18" ht="21" customHeight="1">
      <c r="B23" s="495"/>
      <c r="C23" s="495"/>
      <c r="D23" s="495"/>
      <c r="E23" s="495"/>
      <c r="F23" s="495"/>
      <c r="G23" s="450"/>
      <c r="H23" s="457"/>
      <c r="J23" s="573"/>
      <c r="L23"/>
      <c r="M23"/>
      <c r="N23"/>
      <c r="O23"/>
      <c r="P23"/>
      <c r="Q23"/>
      <c r="R23"/>
    </row>
    <row r="24" spans="2:18" ht="21" customHeight="1">
      <c r="B24" s="495"/>
      <c r="C24" s="495"/>
      <c r="D24" s="495"/>
      <c r="E24" s="495"/>
      <c r="F24" s="495"/>
      <c r="G24" s="450"/>
      <c r="H24" s="457"/>
      <c r="J24" s="573"/>
      <c r="L24"/>
      <c r="M24"/>
      <c r="N24"/>
      <c r="O24"/>
      <c r="P24"/>
      <c r="Q24"/>
      <c r="R24"/>
    </row>
    <row r="25" spans="2:18" ht="21" customHeight="1">
      <c r="B25" s="495"/>
      <c r="C25" s="495"/>
      <c r="D25" s="495"/>
      <c r="E25" s="495"/>
      <c r="F25" s="495"/>
      <c r="G25" s="450"/>
      <c r="H25" s="457"/>
      <c r="L25"/>
      <c r="M25"/>
      <c r="N25"/>
      <c r="O25"/>
      <c r="P25"/>
      <c r="Q25"/>
      <c r="R25"/>
    </row>
    <row r="26" spans="2:18" ht="21" customHeight="1">
      <c r="B26" s="248" t="s">
        <v>3205</v>
      </c>
      <c r="C26" s="248"/>
      <c r="D26" s="248"/>
      <c r="E26" s="248"/>
      <c r="F26" s="248"/>
      <c r="G26" s="533"/>
      <c r="H26" s="780"/>
      <c r="L26"/>
      <c r="M26"/>
      <c r="N26"/>
      <c r="O26"/>
      <c r="P26"/>
      <c r="Q26"/>
      <c r="R26"/>
    </row>
    <row r="27" spans="2:18" ht="21" customHeight="1">
      <c r="B27" s="495"/>
      <c r="C27" s="495"/>
      <c r="D27" s="495"/>
      <c r="E27" s="495"/>
      <c r="F27" s="495"/>
      <c r="G27" s="450"/>
      <c r="H27" s="457"/>
      <c r="L27"/>
      <c r="M27"/>
      <c r="N27"/>
      <c r="O27"/>
      <c r="P27"/>
      <c r="Q27"/>
      <c r="R27"/>
    </row>
    <row r="28" spans="2:18" ht="21" customHeight="1">
      <c r="B28" s="495"/>
      <c r="C28" s="495"/>
      <c r="D28" s="495"/>
      <c r="E28" s="495"/>
      <c r="F28" s="495"/>
      <c r="G28" s="450"/>
      <c r="H28" s="457"/>
    </row>
    <row r="29" spans="2:18" ht="21" customHeight="1">
      <c r="B29" s="495"/>
      <c r="C29" s="495"/>
      <c r="D29" s="495"/>
      <c r="E29" s="495"/>
      <c r="F29" s="495"/>
      <c r="G29" s="450"/>
      <c r="H29" s="457"/>
    </row>
    <row r="30" spans="2:18" ht="21" customHeight="1">
      <c r="B30" s="307" t="s">
        <v>3206</v>
      </c>
      <c r="C30" s="248"/>
      <c r="D30" s="248"/>
      <c r="E30" s="248"/>
      <c r="F30" s="248"/>
      <c r="G30" s="533"/>
      <c r="H30" s="780"/>
    </row>
    <row r="31" spans="2:18" ht="21" customHeight="1">
      <c r="B31" s="248" t="s">
        <v>3135</v>
      </c>
      <c r="C31" s="248"/>
      <c r="D31" s="248"/>
      <c r="E31" s="248"/>
      <c r="F31" s="248"/>
      <c r="G31" s="450"/>
      <c r="H31" s="780">
        <f>+'44-Utility4'!I37</f>
        <v>0</v>
      </c>
      <c r="J31" s="573"/>
    </row>
    <row r="32" spans="2:18" ht="21" customHeight="1">
      <c r="B32" s="248" t="s">
        <v>3134</v>
      </c>
      <c r="C32" s="248"/>
      <c r="D32" s="248"/>
      <c r="E32" s="248"/>
      <c r="F32" s="248"/>
      <c r="G32" s="450"/>
      <c r="H32" s="457"/>
    </row>
    <row r="33" spans="2:18" ht="21" customHeight="1">
      <c r="B33" s="248" t="s">
        <v>3133</v>
      </c>
      <c r="C33" s="248"/>
      <c r="D33" s="248"/>
      <c r="E33" s="248"/>
      <c r="F33" s="248"/>
      <c r="G33" s="450"/>
      <c r="H33" s="781">
        <f>+'49-Utility4'!I29+'49a-Utility4'!I29+'50.1-Utility4'!M24+'49a.1-Utility4'!I29</f>
        <v>0</v>
      </c>
      <c r="J33" s="573"/>
    </row>
    <row r="34" spans="2:18" ht="21" customHeight="1">
      <c r="B34" s="495" t="s">
        <v>3214</v>
      </c>
      <c r="C34" s="495"/>
      <c r="D34" s="495"/>
      <c r="E34" s="495"/>
      <c r="F34" s="499"/>
      <c r="G34" s="450"/>
      <c r="H34" s="457"/>
    </row>
    <row r="35" spans="2:18" ht="21" customHeight="1">
      <c r="B35" s="495"/>
      <c r="C35" s="495"/>
      <c r="D35" s="495"/>
      <c r="E35" s="495"/>
      <c r="F35" s="495"/>
      <c r="G35" s="450"/>
      <c r="H35" s="457"/>
      <c r="L35"/>
      <c r="M35"/>
      <c r="N35"/>
      <c r="O35"/>
      <c r="P35"/>
      <c r="Q35"/>
      <c r="R35"/>
    </row>
    <row r="36" spans="2:18" ht="21" customHeight="1">
      <c r="B36" s="495"/>
      <c r="C36" s="495"/>
      <c r="D36" s="495"/>
      <c r="E36" s="495"/>
      <c r="F36" s="495"/>
      <c r="G36" s="450"/>
      <c r="H36" s="457"/>
      <c r="J36" s="573"/>
      <c r="L36"/>
      <c r="M36"/>
      <c r="N36"/>
      <c r="O36"/>
      <c r="P36"/>
      <c r="Q36"/>
      <c r="R36"/>
    </row>
    <row r="37" spans="2:18" ht="21" customHeight="1">
      <c r="B37" s="495"/>
      <c r="C37" s="495"/>
      <c r="D37" s="495"/>
      <c r="E37" s="495"/>
      <c r="F37" s="495"/>
      <c r="G37" s="450"/>
      <c r="H37" s="457"/>
      <c r="J37" s="573"/>
      <c r="L37"/>
      <c r="M37"/>
      <c r="N37"/>
      <c r="O37"/>
      <c r="P37"/>
      <c r="Q37"/>
      <c r="R37"/>
    </row>
    <row r="38" spans="2:18" ht="21" customHeight="1" thickBot="1">
      <c r="B38" s="495"/>
      <c r="C38" s="495"/>
      <c r="D38" s="495"/>
      <c r="E38" s="495"/>
      <c r="F38" s="495"/>
      <c r="G38" s="450"/>
      <c r="H38" s="481"/>
      <c r="L38"/>
      <c r="M38"/>
      <c r="N38"/>
      <c r="O38"/>
      <c r="P38"/>
      <c r="Q38"/>
      <c r="R38"/>
    </row>
    <row r="39" spans="2:18" ht="21" customHeight="1" thickTop="1">
      <c r="B39" s="248"/>
      <c r="C39" s="248" t="s">
        <v>3132</v>
      </c>
      <c r="D39" s="248"/>
      <c r="E39" s="248"/>
      <c r="F39" s="871"/>
      <c r="G39" s="872"/>
      <c r="H39" s="782">
        <f>SUM(H30:H38)</f>
        <v>0</v>
      </c>
      <c r="I39" s="267" t="s">
        <v>795</v>
      </c>
    </row>
    <row r="40" spans="2:18" ht="21" customHeight="1">
      <c r="B40" s="333" t="s">
        <v>3215</v>
      </c>
      <c r="C40" s="333"/>
      <c r="D40" s="333"/>
      <c r="E40" s="333"/>
      <c r="F40" s="333"/>
      <c r="G40" s="779"/>
      <c r="H40" s="479"/>
    </row>
    <row r="41" spans="2:18" ht="21" customHeight="1">
      <c r="B41" s="495"/>
      <c r="C41" s="495"/>
      <c r="D41" s="495"/>
      <c r="E41" s="495"/>
      <c r="F41" s="495"/>
      <c r="G41" s="450"/>
      <c r="H41" s="457"/>
    </row>
    <row r="42" spans="2:18" ht="21" customHeight="1">
      <c r="B42" s="248" t="s">
        <v>617</v>
      </c>
      <c r="C42" s="248"/>
      <c r="D42" s="248"/>
      <c r="E42" s="248"/>
      <c r="F42" s="248"/>
      <c r="G42" s="533"/>
      <c r="H42" s="780">
        <f>+'46-Utility4'!K27</f>
        <v>0</v>
      </c>
    </row>
    <row r="43" spans="2:18" ht="21" customHeight="1" thickBot="1">
      <c r="B43" s="248"/>
      <c r="C43" s="248"/>
      <c r="D43" s="248"/>
      <c r="E43" s="248"/>
      <c r="F43" s="248"/>
      <c r="G43" s="783"/>
      <c r="H43" s="784"/>
    </row>
    <row r="44" spans="2:18" ht="21" customHeight="1" thickBot="1">
      <c r="B44" s="248" t="s">
        <v>3216</v>
      </c>
      <c r="C44" s="248"/>
      <c r="D44" s="248"/>
      <c r="E44" s="248"/>
      <c r="F44" s="248"/>
      <c r="G44" s="785">
        <f>SUM(G12:G43)</f>
        <v>0</v>
      </c>
      <c r="H44" s="786">
        <f>SUM(H39:H43)</f>
        <v>0</v>
      </c>
      <c r="J44" s="301">
        <f>G44-H44</f>
        <v>0</v>
      </c>
    </row>
    <row r="45" spans="2:18" ht="13.8" thickTop="1">
      <c r="B45" s="1352" t="s">
        <v>98</v>
      </c>
      <c r="C45" s="1352"/>
      <c r="D45" s="1352"/>
      <c r="E45" s="1352"/>
      <c r="F45" s="1352"/>
      <c r="G45" s="1352"/>
      <c r="H45" s="1352"/>
    </row>
    <row r="46" spans="2:18">
      <c r="B46" s="302"/>
      <c r="C46" s="302"/>
      <c r="D46" s="302"/>
      <c r="E46" s="302"/>
      <c r="F46" s="302"/>
      <c r="G46" s="302"/>
      <c r="H46" s="302"/>
    </row>
    <row r="47" spans="2:18">
      <c r="B47" s="302"/>
      <c r="C47" s="302"/>
      <c r="D47" s="302"/>
      <c r="E47" s="302"/>
      <c r="F47" s="302"/>
      <c r="G47" s="302"/>
      <c r="H47" s="302"/>
    </row>
    <row r="48" spans="2:18">
      <c r="B48" s="302"/>
      <c r="C48" s="302"/>
      <c r="D48" s="302"/>
      <c r="E48" s="302"/>
      <c r="F48" s="302"/>
      <c r="G48" s="302"/>
      <c r="H48" s="302"/>
    </row>
    <row r="49" spans="2:8">
      <c r="B49" s="302"/>
      <c r="C49" s="302"/>
      <c r="D49" s="302"/>
      <c r="E49" s="302"/>
      <c r="F49" s="302"/>
      <c r="G49" s="302"/>
      <c r="H49" s="302"/>
    </row>
    <row r="50" spans="2:8" ht="13.8">
      <c r="B50" s="1353" t="s">
        <v>3130</v>
      </c>
      <c r="C50" s="1353"/>
      <c r="D50" s="1353"/>
      <c r="E50" s="1353"/>
      <c r="F50" s="1353"/>
      <c r="G50" s="1353"/>
      <c r="H50" s="1353"/>
    </row>
    <row r="54" spans="2:8">
      <c r="H54" s="301"/>
    </row>
    <row r="57" spans="2:8">
      <c r="H57" s="301">
        <f>+H44-G44</f>
        <v>0</v>
      </c>
    </row>
  </sheetData>
  <sheetProtection algorithmName="SHA-512" hashValue="bD7/SlZYpONrkxbg8KEbwtDCyPGl6vad2uU23KVx8qQnrw0M9dWo6uiBXJ5j0h2os7+jqA2hcN693dNO0g7i7w==" saltValue="kEJinh3N/WZt9pP3YXUkGg=="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51757-3DD6-43A3-A0ED-8107C0497BEF}">
  <sheetPr codeName="Sheet225">
    <tabColor theme="2" tint="-0.249977111117893"/>
  </sheetPr>
  <dimension ref="B2:Q55"/>
  <sheetViews>
    <sheetView zoomScaleNormal="100" zoomScaleSheetLayoutView="80" workbookViewId="0">
      <selection activeCell="P29" sqref="P29"/>
    </sheetView>
  </sheetViews>
  <sheetFormatPr defaultColWidth="8.88671875" defaultRowHeight="13.2"/>
  <cols>
    <col min="1" max="1" width="4.6640625" style="267" customWidth="1"/>
    <col min="2" max="2" width="4.88671875" style="267" customWidth="1"/>
    <col min="3" max="4" width="4.6640625" style="267" customWidth="1"/>
    <col min="5" max="5" width="34.33203125" style="267" customWidth="1"/>
    <col min="6" max="6" width="15.6640625" style="267" customWidth="1"/>
    <col min="7" max="8" width="16.6640625" style="267" customWidth="1"/>
    <col min="9" max="9" width="10.88671875" style="267" bestFit="1" customWidth="1"/>
    <col min="10" max="10" width="8.88671875" style="267"/>
    <col min="11" max="11" width="10.33203125" style="267" bestFit="1" customWidth="1"/>
    <col min="12" max="12" width="8.88671875" style="267"/>
    <col min="13" max="13" width="13.88671875" style="267" bestFit="1" customWidth="1"/>
    <col min="14" max="16384" width="8.88671875" style="267"/>
  </cols>
  <sheetData>
    <row r="2" spans="2:17">
      <c r="B2" s="1357" t="s">
        <v>35</v>
      </c>
      <c r="C2" s="1357"/>
      <c r="D2" s="1357"/>
      <c r="E2" s="1357"/>
      <c r="F2" s="1357"/>
      <c r="G2" s="1357"/>
      <c r="H2" s="1357"/>
    </row>
    <row r="3" spans="2:17">
      <c r="B3" s="1357" t="s">
        <v>449</v>
      </c>
      <c r="C3" s="1357"/>
      <c r="D3" s="1357"/>
      <c r="E3" s="1357"/>
      <c r="F3" s="1357"/>
      <c r="G3" s="1357"/>
      <c r="H3" s="1357"/>
    </row>
    <row r="5" spans="2:17" ht="22.8">
      <c r="B5" s="1358" t="s">
        <v>424</v>
      </c>
      <c r="C5" s="1358"/>
      <c r="D5" s="1358"/>
      <c r="E5" s="1358"/>
      <c r="F5" s="1358"/>
      <c r="G5" s="1358"/>
      <c r="H5" s="1358"/>
    </row>
    <row r="6" spans="2:17" ht="22.8">
      <c r="B6" s="1358" t="str">
        <f>"TRIAL  BALANCE - "&amp;UPPER('KEY INPUTS'!D57)&amp;"  UTILITY  FUND (cont'd)"</f>
        <v>TRIAL  BALANCE -   UTILITY  FUND (cont'd)</v>
      </c>
      <c r="C6" s="1358"/>
      <c r="D6" s="1358"/>
      <c r="E6" s="1358"/>
      <c r="F6" s="1358"/>
      <c r="G6" s="1358"/>
      <c r="H6" s="1358"/>
    </row>
    <row r="7" spans="2:17" ht="15.6">
      <c r="B7" s="1359" t="str">
        <f>IF('KEY INPUTS'!C42 = "State Fiscal Year", 'KEY INPUTS'!F45,'KEY INPUTS'!D45)</f>
        <v>AS  AT  DECEMBER  31, 2024</v>
      </c>
      <c r="C7" s="1360"/>
      <c r="D7" s="1360"/>
      <c r="E7" s="1360"/>
      <c r="F7" s="1360"/>
      <c r="G7" s="1360"/>
      <c r="H7" s="1360"/>
    </row>
    <row r="8" spans="2:17" ht="15.6">
      <c r="B8" s="1354" t="s">
        <v>450</v>
      </c>
      <c r="C8" s="1354"/>
      <c r="D8" s="1354"/>
      <c r="E8" s="1354"/>
      <c r="F8" s="1354"/>
      <c r="G8" s="1354"/>
      <c r="H8" s="1354"/>
    </row>
    <row r="9" spans="2:17">
      <c r="B9" s="1355" t="s">
        <v>70</v>
      </c>
      <c r="C9" s="1355"/>
      <c r="D9" s="1355"/>
      <c r="E9" s="1355"/>
      <c r="F9" s="1355"/>
      <c r="G9" s="1355"/>
      <c r="H9" s="1355"/>
    </row>
    <row r="10" spans="2:17" ht="15" customHeight="1" thickBot="1">
      <c r="B10" s="1356" t="s">
        <v>71</v>
      </c>
      <c r="C10" s="1356"/>
      <c r="D10" s="1356"/>
      <c r="E10" s="1356"/>
      <c r="F10" s="1356"/>
      <c r="G10" s="1356"/>
      <c r="H10" s="1356"/>
    </row>
    <row r="11" spans="2:17" ht="36" customHeight="1" thickTop="1" thickBot="1">
      <c r="B11" s="1350" t="s">
        <v>95</v>
      </c>
      <c r="C11" s="1350"/>
      <c r="D11" s="1350"/>
      <c r="E11" s="1350"/>
      <c r="F11" s="1351"/>
      <c r="G11" s="304" t="s">
        <v>96</v>
      </c>
      <c r="H11" s="308" t="s">
        <v>97</v>
      </c>
    </row>
    <row r="12" spans="2:17" ht="21" customHeight="1" thickTop="1">
      <c r="G12" s="775"/>
      <c r="H12" s="776"/>
    </row>
    <row r="13" spans="2:17" ht="21" customHeight="1">
      <c r="B13" s="307" t="s">
        <v>642</v>
      </c>
      <c r="C13" s="248"/>
      <c r="D13" s="248"/>
      <c r="E13" s="248"/>
      <c r="F13" s="248"/>
      <c r="G13" s="533"/>
      <c r="H13" s="780"/>
      <c r="K13"/>
      <c r="L13"/>
      <c r="M13"/>
      <c r="N13"/>
      <c r="O13"/>
      <c r="P13"/>
      <c r="Q13"/>
    </row>
    <row r="14" spans="2:17" ht="21" customHeight="1">
      <c r="B14" s="248"/>
      <c r="C14" s="248"/>
      <c r="D14" s="248"/>
      <c r="E14" s="248"/>
      <c r="F14" s="248"/>
      <c r="G14" s="533"/>
      <c r="H14" s="780"/>
      <c r="K14"/>
      <c r="L14"/>
      <c r="M14"/>
      <c r="N14"/>
      <c r="O14"/>
      <c r="P14"/>
      <c r="Q14"/>
    </row>
    <row r="15" spans="2:17" ht="21" customHeight="1">
      <c r="B15" s="267" t="s">
        <v>192</v>
      </c>
      <c r="C15" s="248"/>
      <c r="D15" s="248"/>
      <c r="E15" s="248"/>
      <c r="F15" s="248"/>
      <c r="G15" s="289"/>
      <c r="H15" s="885" t="s">
        <v>627</v>
      </c>
      <c r="K15" s="294"/>
      <c r="L15"/>
      <c r="M15"/>
      <c r="N15"/>
      <c r="O15"/>
      <c r="P15"/>
      <c r="Q15"/>
    </row>
    <row r="16" spans="2:17" ht="21" customHeight="1">
      <c r="B16" s="248" t="s">
        <v>193</v>
      </c>
      <c r="C16" s="248"/>
      <c r="D16" s="248"/>
      <c r="E16" s="248"/>
      <c r="F16" s="248"/>
      <c r="G16" s="804" t="s">
        <v>627</v>
      </c>
      <c r="H16" s="668">
        <f>+G15</f>
        <v>0</v>
      </c>
      <c r="K16"/>
      <c r="L16"/>
      <c r="M16"/>
      <c r="N16"/>
      <c r="O16"/>
      <c r="P16"/>
      <c r="Q16"/>
    </row>
    <row r="17" spans="2:17" ht="21" customHeight="1">
      <c r="B17" s="248"/>
      <c r="C17" s="248"/>
      <c r="D17" s="248"/>
      <c r="E17" s="248"/>
      <c r="F17" s="248"/>
      <c r="G17" s="663"/>
      <c r="H17" s="668"/>
      <c r="K17"/>
      <c r="L17"/>
      <c r="M17"/>
      <c r="N17"/>
      <c r="O17"/>
      <c r="P17"/>
      <c r="Q17"/>
    </row>
    <row r="18" spans="2:17" ht="21" customHeight="1">
      <c r="B18" s="248"/>
      <c r="C18" s="248" t="s">
        <v>351</v>
      </c>
      <c r="D18" s="248"/>
      <c r="E18" s="248"/>
      <c r="F18" s="248"/>
      <c r="G18" s="289"/>
      <c r="H18" s="419"/>
      <c r="K18"/>
      <c r="L18"/>
      <c r="M18"/>
      <c r="N18"/>
      <c r="O18"/>
      <c r="P18"/>
      <c r="Q18"/>
    </row>
    <row r="19" spans="2:17" ht="21" customHeight="1">
      <c r="B19" s="248"/>
      <c r="C19" s="495"/>
      <c r="D19" s="495"/>
      <c r="E19" s="495"/>
      <c r="F19" s="495"/>
      <c r="G19" s="289"/>
      <c r="H19" s="419"/>
      <c r="K19"/>
      <c r="L19"/>
      <c r="M19"/>
      <c r="N19"/>
      <c r="O19"/>
      <c r="P19"/>
      <c r="Q19"/>
    </row>
    <row r="20" spans="2:17" ht="21" customHeight="1">
      <c r="B20" s="248"/>
      <c r="C20" s="248" t="s">
        <v>888</v>
      </c>
      <c r="D20" s="248"/>
      <c r="E20" s="248"/>
      <c r="F20" s="248"/>
      <c r="G20" s="289"/>
      <c r="H20" s="419"/>
      <c r="K20"/>
      <c r="L20"/>
      <c r="M20"/>
      <c r="N20"/>
      <c r="O20"/>
      <c r="P20"/>
      <c r="Q20"/>
    </row>
    <row r="21" spans="2:17" ht="21" customHeight="1">
      <c r="B21" s="248"/>
      <c r="C21" s="248" t="s">
        <v>643</v>
      </c>
      <c r="D21" s="248"/>
      <c r="E21" s="248"/>
      <c r="F21" s="248"/>
      <c r="G21" s="663"/>
      <c r="H21" s="664"/>
      <c r="K21"/>
      <c r="L21"/>
      <c r="M21"/>
      <c r="N21"/>
      <c r="O21"/>
      <c r="P21"/>
      <c r="Q21"/>
    </row>
    <row r="22" spans="2:17" ht="21" customHeight="1">
      <c r="B22" s="248"/>
      <c r="C22" s="248"/>
      <c r="D22" s="248" t="s">
        <v>87</v>
      </c>
      <c r="E22" s="248"/>
      <c r="F22" s="248"/>
      <c r="G22" s="289"/>
      <c r="H22" s="419"/>
      <c r="K22"/>
      <c r="L22"/>
      <c r="M22"/>
      <c r="N22"/>
      <c r="O22"/>
      <c r="P22"/>
      <c r="Q22"/>
    </row>
    <row r="23" spans="2:17" ht="21" customHeight="1">
      <c r="B23" s="248"/>
      <c r="C23" s="248"/>
      <c r="D23" s="248" t="s">
        <v>671</v>
      </c>
      <c r="E23" s="248"/>
      <c r="F23" s="248"/>
      <c r="G23" s="289"/>
      <c r="H23" s="419"/>
      <c r="K23"/>
      <c r="L23"/>
      <c r="M23"/>
      <c r="N23"/>
      <c r="O23"/>
      <c r="P23"/>
      <c r="Q23"/>
    </row>
    <row r="24" spans="2:17" ht="21" customHeight="1">
      <c r="B24" s="248"/>
      <c r="C24" s="495"/>
      <c r="D24" s="495" t="s">
        <v>3131</v>
      </c>
      <c r="E24" s="495"/>
      <c r="F24" s="495"/>
      <c r="G24" s="289"/>
      <c r="H24" s="438"/>
      <c r="K24"/>
      <c r="L24"/>
      <c r="M24"/>
      <c r="N24"/>
      <c r="O24"/>
      <c r="P24"/>
      <c r="Q24"/>
    </row>
    <row r="25" spans="2:17" ht="21" customHeight="1">
      <c r="B25" s="248"/>
      <c r="C25" s="495"/>
      <c r="D25" s="495" t="s">
        <v>3131</v>
      </c>
      <c r="E25" s="495"/>
      <c r="F25" s="495"/>
      <c r="G25" s="289"/>
      <c r="H25" s="438" t="s">
        <v>3131</v>
      </c>
    </row>
    <row r="26" spans="2:17" ht="21" customHeight="1">
      <c r="B26" s="248"/>
      <c r="C26" s="496"/>
      <c r="D26" s="495"/>
      <c r="E26" s="495"/>
      <c r="F26" s="495"/>
      <c r="G26" s="289"/>
      <c r="H26" s="498"/>
    </row>
    <row r="27" spans="2:17" ht="21" customHeight="1">
      <c r="B27" s="248"/>
      <c r="C27" s="495" t="s">
        <v>3131</v>
      </c>
      <c r="D27" s="495"/>
      <c r="E27" s="495"/>
      <c r="F27" s="495"/>
      <c r="G27" s="289"/>
      <c r="H27" s="438" t="s">
        <v>3131</v>
      </c>
    </row>
    <row r="28" spans="2:17" ht="21" customHeight="1">
      <c r="B28" s="248"/>
      <c r="C28" s="495"/>
      <c r="D28" s="495"/>
      <c r="E28" s="495"/>
      <c r="F28" s="495"/>
      <c r="G28" s="289"/>
      <c r="H28" s="438"/>
    </row>
    <row r="29" spans="2:17" ht="21" customHeight="1">
      <c r="B29" s="248"/>
      <c r="C29" s="495"/>
      <c r="D29" s="495" t="s">
        <v>3131</v>
      </c>
      <c r="E29" s="495"/>
      <c r="F29" s="495"/>
      <c r="G29" s="289"/>
      <c r="H29" s="438"/>
      <c r="K29"/>
      <c r="L29"/>
      <c r="M29"/>
      <c r="N29"/>
      <c r="O29"/>
      <c r="P29"/>
      <c r="Q29"/>
    </row>
    <row r="30" spans="2:17" ht="21" customHeight="1">
      <c r="B30" s="248"/>
      <c r="C30" s="495"/>
      <c r="D30" s="495" t="s">
        <v>3131</v>
      </c>
      <c r="E30" s="495"/>
      <c r="F30" s="495"/>
      <c r="G30" s="289"/>
      <c r="H30" s="438"/>
      <c r="K30"/>
      <c r="L30"/>
      <c r="M30"/>
      <c r="N30"/>
      <c r="O30"/>
      <c r="P30"/>
      <c r="Q30"/>
    </row>
    <row r="31" spans="2:17" ht="21" customHeight="1">
      <c r="B31" s="248"/>
      <c r="C31" s="495"/>
      <c r="D31" s="495" t="s">
        <v>3131</v>
      </c>
      <c r="E31" s="495"/>
      <c r="F31" s="495"/>
      <c r="G31" s="289"/>
      <c r="H31" s="438" t="s">
        <v>3131</v>
      </c>
    </row>
    <row r="32" spans="2:17" ht="21" customHeight="1">
      <c r="B32" s="248"/>
      <c r="C32" s="496"/>
      <c r="D32" s="495"/>
      <c r="E32" s="495"/>
      <c r="F32" s="495"/>
      <c r="G32" s="289"/>
      <c r="H32" s="498"/>
    </row>
    <row r="33" spans="2:17" ht="21" customHeight="1">
      <c r="B33" s="248"/>
      <c r="C33" s="495" t="s">
        <v>3131</v>
      </c>
      <c r="D33" s="495"/>
      <c r="E33" s="495"/>
      <c r="F33" s="495"/>
      <c r="G33" s="289"/>
      <c r="H33" s="438" t="s">
        <v>3131</v>
      </c>
    </row>
    <row r="34" spans="2:17" ht="21" customHeight="1">
      <c r="B34" s="248"/>
      <c r="C34" s="495"/>
      <c r="D34" s="495"/>
      <c r="E34" s="495"/>
      <c r="F34" s="495"/>
      <c r="G34" s="289"/>
      <c r="H34" s="438"/>
    </row>
    <row r="35" spans="2:17" ht="21" customHeight="1">
      <c r="B35" s="248"/>
      <c r="C35" s="495"/>
      <c r="D35" s="495" t="s">
        <v>3131</v>
      </c>
      <c r="E35" s="495"/>
      <c r="F35" s="495"/>
      <c r="G35" s="289"/>
      <c r="H35" s="438"/>
      <c r="K35"/>
      <c r="L35"/>
      <c r="M35"/>
      <c r="N35"/>
      <c r="O35"/>
      <c r="P35"/>
      <c r="Q35"/>
    </row>
    <row r="36" spans="2:17" ht="21" customHeight="1">
      <c r="B36" s="248"/>
      <c r="C36" s="495"/>
      <c r="D36" s="495" t="s">
        <v>3131</v>
      </c>
      <c r="E36" s="495"/>
      <c r="F36" s="495"/>
      <c r="G36" s="289"/>
      <c r="H36" s="438" t="s">
        <v>3131</v>
      </c>
    </row>
    <row r="37" spans="2:17" ht="21" customHeight="1">
      <c r="B37" s="248"/>
      <c r="C37" s="496"/>
      <c r="D37" s="495"/>
      <c r="E37" s="495"/>
      <c r="F37" s="495"/>
      <c r="G37" s="289"/>
      <c r="H37" s="498"/>
    </row>
    <row r="38" spans="2:17" ht="21" customHeight="1">
      <c r="B38" s="248"/>
      <c r="C38" s="495" t="s">
        <v>3131</v>
      </c>
      <c r="D38" s="495"/>
      <c r="E38" s="495"/>
      <c r="F38" s="495"/>
      <c r="G38" s="289"/>
      <c r="H38" s="438" t="s">
        <v>3131</v>
      </c>
    </row>
    <row r="39" spans="2:17" ht="21" customHeight="1">
      <c r="B39" s="248"/>
      <c r="C39" s="495"/>
      <c r="D39" s="495"/>
      <c r="E39" s="495"/>
      <c r="F39" s="495"/>
      <c r="G39" s="289"/>
      <c r="H39" s="438"/>
    </row>
    <row r="40" spans="2:17" ht="21" customHeight="1">
      <c r="B40" s="248"/>
      <c r="C40" s="495"/>
      <c r="D40" s="495"/>
      <c r="E40" s="495"/>
      <c r="F40" s="495"/>
      <c r="G40" s="289"/>
      <c r="H40" s="438"/>
    </row>
    <row r="41" spans="2:17" ht="21" customHeight="1">
      <c r="B41" s="248"/>
      <c r="C41" s="495" t="s">
        <v>3131</v>
      </c>
      <c r="D41" s="495"/>
      <c r="E41" s="495"/>
      <c r="F41" s="495"/>
      <c r="G41" s="289"/>
      <c r="H41" s="438" t="s">
        <v>3131</v>
      </c>
    </row>
    <row r="42" spans="2:17" ht="21" customHeight="1">
      <c r="B42" s="248"/>
      <c r="C42" s="495" t="s">
        <v>3131</v>
      </c>
      <c r="D42" s="495"/>
      <c r="E42" s="495"/>
      <c r="F42" s="495"/>
      <c r="G42" s="289"/>
      <c r="H42" s="438" t="s">
        <v>3131</v>
      </c>
    </row>
    <row r="43" spans="2:17" ht="21" customHeight="1" thickBot="1">
      <c r="B43" s="248"/>
      <c r="C43" s="248"/>
      <c r="D43" s="248"/>
      <c r="E43" s="248"/>
      <c r="F43" s="248"/>
      <c r="G43" s="881"/>
      <c r="H43" s="882"/>
      <c r="I43" s="301"/>
      <c r="M43" s="301"/>
    </row>
    <row r="44" spans="2:17" ht="21" customHeight="1" thickBot="1">
      <c r="B44" s="248"/>
      <c r="C44" s="248" t="s">
        <v>3262</v>
      </c>
      <c r="D44" s="248"/>
      <c r="E44" s="248"/>
      <c r="F44" s="248"/>
      <c r="G44" s="883">
        <f>SUM(G15:G42)</f>
        <v>0</v>
      </c>
      <c r="H44" s="884">
        <f>SUM(H15:H43)</f>
        <v>0</v>
      </c>
      <c r="I44" s="301"/>
      <c r="K44" s="301"/>
    </row>
    <row r="45" spans="2:17" ht="13.8" thickTop="1">
      <c r="B45" s="1361" t="s">
        <v>98</v>
      </c>
      <c r="C45" s="1361"/>
      <c r="D45" s="1361"/>
      <c r="E45" s="1361"/>
      <c r="F45" s="1361"/>
      <c r="G45" s="1352"/>
      <c r="H45" s="1352"/>
    </row>
    <row r="46" spans="2:17">
      <c r="B46" s="302"/>
      <c r="C46" s="302"/>
      <c r="D46" s="302"/>
      <c r="E46" s="302"/>
      <c r="F46" s="302"/>
      <c r="G46" s="302"/>
      <c r="H46" s="302"/>
    </row>
    <row r="47" spans="2:17">
      <c r="B47" s="302"/>
      <c r="C47" s="302"/>
      <c r="D47" s="302"/>
      <c r="E47" s="302"/>
      <c r="F47" s="302"/>
      <c r="G47" s="302"/>
      <c r="H47" s="302"/>
    </row>
    <row r="48" spans="2:17">
      <c r="B48" s="302"/>
      <c r="C48" s="302"/>
      <c r="D48" s="302"/>
      <c r="E48" s="302"/>
      <c r="F48" s="302"/>
      <c r="G48" s="302"/>
      <c r="H48" s="302"/>
    </row>
    <row r="49" spans="2:8">
      <c r="B49" s="302"/>
      <c r="C49" s="302"/>
      <c r="D49" s="302"/>
      <c r="E49" s="302"/>
      <c r="F49" s="302"/>
      <c r="G49" s="302"/>
      <c r="H49" s="302"/>
    </row>
    <row r="50" spans="2:8" ht="13.8">
      <c r="B50" s="1353" t="s">
        <v>3136</v>
      </c>
      <c r="C50" s="1353"/>
      <c r="D50" s="1353"/>
      <c r="E50" s="1353"/>
      <c r="F50" s="1353"/>
      <c r="G50" s="1353"/>
      <c r="H50" s="1353"/>
    </row>
    <row r="55" spans="2:8">
      <c r="H55" s="301"/>
    </row>
  </sheetData>
  <sheetProtection algorithmName="SHA-512" hashValue="TrUeGa0ifCHPuFDmN0OtV5xYn8RSTeDXM7AzaGDlgiFfepk9t0r6tK5j5d94KXVl4twS8wV0b53D0gEAIhf4jA==" saltValue="sqNZjyu2u2GrT7JEtTrdEQ=="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33010-A8F5-4F1A-9C5A-9F219B5CBF54}">
  <sheetPr codeName="Sheet226">
    <tabColor theme="2" tint="-0.249977111117893"/>
  </sheetPr>
  <dimension ref="B2:Q55"/>
  <sheetViews>
    <sheetView zoomScaleNormal="100" zoomScaleSheetLayoutView="80" workbookViewId="0">
      <selection activeCell="B8" sqref="B8:H8"/>
    </sheetView>
  </sheetViews>
  <sheetFormatPr defaultColWidth="8.88671875" defaultRowHeight="13.2"/>
  <cols>
    <col min="1" max="1" width="4.6640625" style="267" customWidth="1"/>
    <col min="2" max="2" width="4.88671875" style="267" customWidth="1"/>
    <col min="3" max="4" width="4.6640625" style="267" customWidth="1"/>
    <col min="5" max="5" width="34.33203125" style="267" customWidth="1"/>
    <col min="6" max="6" width="15.6640625" style="267" customWidth="1"/>
    <col min="7" max="8" width="16.6640625" style="267" customWidth="1"/>
    <col min="9" max="9" width="10.88671875" style="267" bestFit="1" customWidth="1"/>
    <col min="10" max="10" width="8.88671875" style="267"/>
    <col min="11" max="11" width="10.33203125" style="267" bestFit="1" customWidth="1"/>
    <col min="12" max="12" width="8.88671875" style="267"/>
    <col min="13" max="13" width="13.88671875" style="267" bestFit="1" customWidth="1"/>
    <col min="14" max="16384" width="8.88671875" style="267"/>
  </cols>
  <sheetData>
    <row r="2" spans="2:17">
      <c r="B2" s="1357" t="s">
        <v>35</v>
      </c>
      <c r="C2" s="1357"/>
      <c r="D2" s="1357"/>
      <c r="E2" s="1357"/>
      <c r="F2" s="1357"/>
      <c r="G2" s="1357"/>
      <c r="H2" s="1357"/>
    </row>
    <row r="3" spans="2:17">
      <c r="B3" s="1357" t="s">
        <v>449</v>
      </c>
      <c r="C3" s="1357"/>
      <c r="D3" s="1357"/>
      <c r="E3" s="1357"/>
      <c r="F3" s="1357"/>
      <c r="G3" s="1357"/>
      <c r="H3" s="1357"/>
    </row>
    <row r="5" spans="2:17" ht="22.8">
      <c r="B5" s="1358" t="s">
        <v>424</v>
      </c>
      <c r="C5" s="1358"/>
      <c r="D5" s="1358"/>
      <c r="E5" s="1358"/>
      <c r="F5" s="1358"/>
      <c r="G5" s="1358"/>
      <c r="H5" s="1358"/>
    </row>
    <row r="6" spans="2:17" ht="22.8">
      <c r="B6" s="1358" t="str">
        <f>"TRIAL  BALANCE - "&amp;UPPER('KEY INPUTS'!D57)&amp;"  UTILITY  FUND (cont'd)"</f>
        <v>TRIAL  BALANCE -   UTILITY  FUND (cont'd)</v>
      </c>
      <c r="C6" s="1358"/>
      <c r="D6" s="1358"/>
      <c r="E6" s="1358"/>
      <c r="F6" s="1358"/>
      <c r="G6" s="1358"/>
      <c r="H6" s="1358"/>
    </row>
    <row r="7" spans="2:17" ht="15.6">
      <c r="B7" s="1359" t="str">
        <f>IF('KEY INPUTS'!C42 = "State Fiscal Year", 'KEY INPUTS'!F45,'KEY INPUTS'!D45)</f>
        <v>AS  AT  DECEMBER  31, 2024</v>
      </c>
      <c r="C7" s="1360"/>
      <c r="D7" s="1360"/>
      <c r="E7" s="1360"/>
      <c r="F7" s="1360"/>
      <c r="G7" s="1360"/>
      <c r="H7" s="1360"/>
    </row>
    <row r="8" spans="2:17" ht="15.6">
      <c r="B8" s="1354" t="s">
        <v>450</v>
      </c>
      <c r="C8" s="1354"/>
      <c r="D8" s="1354"/>
      <c r="E8" s="1354"/>
      <c r="F8" s="1354"/>
      <c r="G8" s="1354"/>
      <c r="H8" s="1354"/>
    </row>
    <row r="9" spans="2:17">
      <c r="B9" s="1355" t="s">
        <v>70</v>
      </c>
      <c r="C9" s="1355"/>
      <c r="D9" s="1355"/>
      <c r="E9" s="1355"/>
      <c r="F9" s="1355"/>
      <c r="G9" s="1355"/>
      <c r="H9" s="1355"/>
    </row>
    <row r="10" spans="2:17" ht="15" customHeight="1" thickBot="1">
      <c r="B10" s="1356" t="s">
        <v>71</v>
      </c>
      <c r="C10" s="1356"/>
      <c r="D10" s="1356"/>
      <c r="E10" s="1356"/>
      <c r="F10" s="1356"/>
      <c r="G10" s="1356"/>
      <c r="H10" s="1356"/>
    </row>
    <row r="11" spans="2:17" ht="36" customHeight="1" thickTop="1" thickBot="1">
      <c r="B11" s="1350" t="s">
        <v>95</v>
      </c>
      <c r="C11" s="1350"/>
      <c r="D11" s="1350"/>
      <c r="E11" s="1350"/>
      <c r="F11" s="1351"/>
      <c r="G11" s="304" t="s">
        <v>96</v>
      </c>
      <c r="H11" s="308" t="s">
        <v>97</v>
      </c>
    </row>
    <row r="12" spans="2:17" ht="21" customHeight="1" thickTop="1">
      <c r="B12" s="248"/>
      <c r="C12" s="248" t="s">
        <v>3263</v>
      </c>
      <c r="D12" s="248"/>
      <c r="E12" s="248"/>
      <c r="F12" s="248"/>
      <c r="G12" s="663">
        <f>'41a-Utility4'!G44</f>
        <v>0</v>
      </c>
      <c r="H12" s="668">
        <f>'41a-Utility4'!H44</f>
        <v>0</v>
      </c>
    </row>
    <row r="13" spans="2:17" ht="21" customHeight="1">
      <c r="C13" s="496"/>
      <c r="D13" s="496"/>
      <c r="E13" s="496"/>
      <c r="F13" s="496"/>
      <c r="G13" s="450"/>
      <c r="H13" s="498"/>
    </row>
    <row r="14" spans="2:17" ht="21" customHeight="1">
      <c r="B14" s="307"/>
      <c r="C14" s="495"/>
      <c r="D14" s="495"/>
      <c r="E14" s="495"/>
      <c r="F14" s="495"/>
      <c r="G14" s="450"/>
      <c r="H14" s="457"/>
      <c r="K14"/>
      <c r="L14"/>
      <c r="M14"/>
      <c r="N14"/>
      <c r="O14"/>
      <c r="P14"/>
      <c r="Q14"/>
    </row>
    <row r="15" spans="2:17" ht="21" customHeight="1">
      <c r="B15" s="248"/>
      <c r="C15" s="495"/>
      <c r="D15" s="495"/>
      <c r="E15" s="495"/>
      <c r="F15" s="495"/>
      <c r="G15" s="450"/>
      <c r="H15" s="457"/>
      <c r="K15"/>
      <c r="L15"/>
      <c r="M15"/>
      <c r="N15"/>
      <c r="O15"/>
      <c r="P15"/>
      <c r="Q15"/>
    </row>
    <row r="16" spans="2:17" ht="21" customHeight="1">
      <c r="B16" s="248"/>
      <c r="C16" s="495"/>
      <c r="D16" s="495"/>
      <c r="E16" s="495"/>
      <c r="F16" s="495"/>
      <c r="G16" s="289"/>
      <c r="H16" s="438"/>
      <c r="K16"/>
      <c r="L16"/>
      <c r="M16"/>
      <c r="N16"/>
      <c r="O16"/>
      <c r="P16"/>
      <c r="Q16"/>
    </row>
    <row r="17" spans="2:17" ht="21" customHeight="1">
      <c r="B17" s="248"/>
      <c r="C17" s="248" t="s">
        <v>3139</v>
      </c>
      <c r="D17" s="248"/>
      <c r="E17" s="248"/>
      <c r="F17" s="248"/>
      <c r="G17" s="663"/>
      <c r="H17" s="668">
        <f>+'49-Utility4'!G22</f>
        <v>0</v>
      </c>
      <c r="K17"/>
      <c r="L17"/>
      <c r="M17"/>
      <c r="N17"/>
      <c r="O17"/>
      <c r="P17"/>
      <c r="Q17"/>
    </row>
    <row r="18" spans="2:17" ht="21" customHeight="1">
      <c r="B18" s="248"/>
      <c r="C18" s="248" t="s">
        <v>3383</v>
      </c>
      <c r="D18" s="248"/>
      <c r="E18" s="248"/>
      <c r="F18" s="248"/>
      <c r="G18" s="663"/>
      <c r="H18" s="668">
        <f>'49a-Utility4'!G11+'49a-Utility4'!G22+'49a.1-Utility4'!G11+'49a.1-Utility4'!G22</f>
        <v>0</v>
      </c>
    </row>
    <row r="19" spans="2:17" ht="21" customHeight="1">
      <c r="B19" s="248"/>
      <c r="C19" s="248" t="s">
        <v>3392</v>
      </c>
      <c r="D19" s="248"/>
      <c r="E19" s="248"/>
      <c r="F19" s="248"/>
      <c r="G19" s="663"/>
      <c r="H19" s="668">
        <f>+'51a-Utility4'!G23</f>
        <v>0</v>
      </c>
      <c r="K19"/>
      <c r="L19"/>
      <c r="M19"/>
      <c r="N19"/>
      <c r="O19"/>
      <c r="P19"/>
      <c r="Q19"/>
    </row>
    <row r="20" spans="2:17" ht="21" customHeight="1">
      <c r="B20" s="248"/>
      <c r="C20" s="248" t="s">
        <v>3138</v>
      </c>
      <c r="D20" s="248"/>
      <c r="E20" s="248"/>
      <c r="F20" s="248"/>
      <c r="G20" s="663"/>
      <c r="H20" s="668">
        <f>+'50.1-Utility4'!G18</f>
        <v>0</v>
      </c>
      <c r="K20"/>
      <c r="L20"/>
      <c r="M20"/>
      <c r="N20"/>
      <c r="O20"/>
      <c r="P20"/>
      <c r="Q20"/>
    </row>
    <row r="21" spans="2:17" ht="21" customHeight="1">
      <c r="B21" s="248"/>
      <c r="C21" s="248" t="s">
        <v>802</v>
      </c>
      <c r="D21" s="248"/>
      <c r="E21" s="248"/>
      <c r="F21" s="248"/>
      <c r="G21" s="663"/>
      <c r="H21" s="668" t="s">
        <v>3131</v>
      </c>
      <c r="K21"/>
      <c r="L21"/>
      <c r="M21"/>
      <c r="N21"/>
      <c r="O21"/>
      <c r="P21"/>
      <c r="Q21"/>
    </row>
    <row r="22" spans="2:17" ht="21" customHeight="1">
      <c r="B22" s="248"/>
      <c r="C22" s="248"/>
      <c r="D22" s="248" t="s">
        <v>799</v>
      </c>
      <c r="E22" s="248"/>
      <c r="F22" s="248"/>
      <c r="G22" s="663"/>
      <c r="H22" s="668">
        <f>+'52-Utility4'!K27</f>
        <v>0</v>
      </c>
      <c r="J22" s="301"/>
      <c r="K22"/>
      <c r="L22"/>
      <c r="M22"/>
      <c r="N22"/>
      <c r="O22"/>
      <c r="P22"/>
      <c r="Q22"/>
    </row>
    <row r="23" spans="2:17" ht="21" customHeight="1">
      <c r="B23" s="248"/>
      <c r="C23" s="248"/>
      <c r="D23" s="248" t="s">
        <v>800</v>
      </c>
      <c r="E23" s="248"/>
      <c r="F23" s="248"/>
      <c r="G23" s="663"/>
      <c r="H23" s="668">
        <f>+'52-Utility4'!L27</f>
        <v>0</v>
      </c>
      <c r="J23" s="301"/>
      <c r="K23"/>
      <c r="L23"/>
      <c r="M23"/>
      <c r="N23"/>
      <c r="O23"/>
      <c r="P23"/>
      <c r="Q23"/>
    </row>
    <row r="24" spans="2:17" ht="21" customHeight="1">
      <c r="B24" s="248"/>
      <c r="C24" s="495" t="s">
        <v>3137</v>
      </c>
      <c r="D24" s="495"/>
      <c r="E24" s="495"/>
      <c r="F24" s="495"/>
      <c r="G24" s="289"/>
      <c r="H24" s="419"/>
    </row>
    <row r="25" spans="2:17" ht="21" customHeight="1">
      <c r="B25" s="248"/>
      <c r="C25" s="495" t="s">
        <v>674</v>
      </c>
      <c r="D25" s="495"/>
      <c r="E25" s="495"/>
      <c r="F25" s="495"/>
      <c r="G25" s="289"/>
      <c r="H25" s="419"/>
    </row>
    <row r="26" spans="2:17" ht="21" customHeight="1">
      <c r="B26" s="248"/>
      <c r="C26" s="495" t="str">
        <f>"DUE TO "&amp;UPPER('KEY INPUTS'!D54)&amp;" OPERATING"</f>
        <v>DUE TO WATER OPERATING</v>
      </c>
      <c r="D26" s="495"/>
      <c r="E26" s="495"/>
      <c r="F26" s="495"/>
      <c r="G26" s="289"/>
      <c r="H26" s="419"/>
    </row>
    <row r="27" spans="2:17" ht="21" customHeight="1">
      <c r="B27" s="248"/>
      <c r="C27" s="495" t="s">
        <v>673</v>
      </c>
      <c r="D27" s="495"/>
      <c r="E27" s="495"/>
      <c r="F27" s="495"/>
      <c r="G27" s="289"/>
      <c r="H27" s="419"/>
    </row>
    <row r="28" spans="2:17" ht="21" customHeight="1">
      <c r="B28" s="248"/>
      <c r="C28" s="495" t="s">
        <v>672</v>
      </c>
      <c r="D28" s="495"/>
      <c r="E28" s="495"/>
      <c r="F28" s="495"/>
      <c r="G28" s="289"/>
      <c r="H28" s="419"/>
    </row>
    <row r="29" spans="2:17" ht="21" customHeight="1">
      <c r="B29" s="248"/>
      <c r="C29" s="495" t="s">
        <v>287</v>
      </c>
      <c r="D29" s="495"/>
      <c r="E29" s="495"/>
      <c r="F29" s="495"/>
      <c r="G29" s="289"/>
      <c r="H29" s="419"/>
    </row>
    <row r="30" spans="2:17" ht="21" customHeight="1">
      <c r="B30" s="248"/>
      <c r="C30" s="495"/>
      <c r="D30" s="495"/>
      <c r="E30" s="495"/>
      <c r="F30" s="495"/>
      <c r="G30" s="289"/>
      <c r="H30" s="438" t="s">
        <v>3131</v>
      </c>
    </row>
    <row r="31" spans="2:17" ht="21" customHeight="1">
      <c r="B31" s="248"/>
      <c r="C31" s="495"/>
      <c r="D31" s="495"/>
      <c r="E31" s="495"/>
      <c r="F31" s="495"/>
      <c r="G31" s="289"/>
      <c r="H31" s="438" t="s">
        <v>3131</v>
      </c>
    </row>
    <row r="32" spans="2:17" ht="21" customHeight="1">
      <c r="B32" s="248"/>
      <c r="C32" s="495"/>
      <c r="D32" s="495"/>
      <c r="E32" s="495"/>
      <c r="F32" s="495"/>
      <c r="G32" s="289"/>
      <c r="H32" s="498"/>
    </row>
    <row r="33" spans="2:13" ht="21" customHeight="1">
      <c r="B33" s="248"/>
      <c r="C33" s="495"/>
      <c r="D33" s="495"/>
      <c r="E33" s="495"/>
      <c r="F33" s="495"/>
      <c r="G33" s="289"/>
      <c r="H33" s="438" t="s">
        <v>3131</v>
      </c>
    </row>
    <row r="34" spans="2:13" ht="21" customHeight="1">
      <c r="B34" s="248"/>
      <c r="C34" s="495"/>
      <c r="D34" s="495"/>
      <c r="E34" s="495"/>
      <c r="F34" s="495"/>
      <c r="G34" s="289"/>
      <c r="H34" s="438"/>
    </row>
    <row r="35" spans="2:13" ht="21" customHeight="1">
      <c r="B35" s="248"/>
      <c r="C35" s="495"/>
      <c r="D35" s="495"/>
      <c r="E35" s="495"/>
      <c r="F35" s="495"/>
      <c r="G35" s="289"/>
      <c r="H35" s="438"/>
    </row>
    <row r="36" spans="2:13" ht="21" customHeight="1">
      <c r="B36" s="248"/>
      <c r="C36" s="495"/>
      <c r="D36" s="495"/>
      <c r="E36" s="495"/>
      <c r="F36" s="495"/>
      <c r="G36" s="289"/>
      <c r="H36" s="438" t="s">
        <v>3131</v>
      </c>
    </row>
    <row r="37" spans="2:13" ht="21" customHeight="1">
      <c r="B37" s="248"/>
      <c r="C37" s="495"/>
      <c r="D37" s="495"/>
      <c r="E37" s="495"/>
      <c r="F37" s="495"/>
      <c r="G37" s="289"/>
      <c r="H37" s="498"/>
    </row>
    <row r="38" spans="2:13" ht="21" customHeight="1">
      <c r="B38" s="248"/>
      <c r="C38" s="495"/>
      <c r="D38" s="495"/>
      <c r="E38" s="495"/>
      <c r="F38" s="495"/>
      <c r="G38" s="289"/>
      <c r="H38" s="438" t="s">
        <v>3131</v>
      </c>
    </row>
    <row r="39" spans="2:13" ht="21" customHeight="1">
      <c r="B39" s="248"/>
      <c r="C39" s="495"/>
      <c r="D39" s="495"/>
      <c r="E39" s="495"/>
      <c r="F39" s="495"/>
      <c r="G39" s="289"/>
      <c r="H39" s="438"/>
    </row>
    <row r="40" spans="2:13" ht="21" customHeight="1">
      <c r="B40" s="248"/>
      <c r="C40" s="248" t="s">
        <v>3199</v>
      </c>
      <c r="D40" s="248"/>
      <c r="E40" s="248"/>
      <c r="F40" s="248"/>
      <c r="G40" s="663"/>
      <c r="H40" s="668">
        <f>+'53-Utility4'!I41</f>
        <v>0</v>
      </c>
    </row>
    <row r="41" spans="2:13" ht="21" customHeight="1">
      <c r="B41" s="248"/>
      <c r="C41" s="248" t="s">
        <v>803</v>
      </c>
      <c r="D41" s="248"/>
      <c r="E41" s="248"/>
      <c r="F41" s="248"/>
      <c r="G41" s="663"/>
      <c r="H41" s="668">
        <f>+'53-Utility4'!I24</f>
        <v>0</v>
      </c>
    </row>
    <row r="42" spans="2:13" ht="21" customHeight="1">
      <c r="B42" s="248"/>
      <c r="C42" s="248" t="s">
        <v>641</v>
      </c>
      <c r="D42" s="248"/>
      <c r="E42" s="248"/>
      <c r="F42" s="248"/>
      <c r="G42" s="663"/>
      <c r="H42" s="668">
        <f>+'54-Utility4'!I42</f>
        <v>0</v>
      </c>
    </row>
    <row r="43" spans="2:13" ht="21" customHeight="1" thickBot="1">
      <c r="B43" s="248"/>
      <c r="C43" s="248"/>
      <c r="D43" s="248"/>
      <c r="E43" s="248"/>
      <c r="F43" s="248"/>
      <c r="G43" s="881"/>
      <c r="H43" s="882"/>
      <c r="I43" s="301"/>
      <c r="M43" s="301"/>
    </row>
    <row r="44" spans="2:13" ht="21" customHeight="1" thickBot="1">
      <c r="B44" s="248"/>
      <c r="C44" s="248" t="s">
        <v>798</v>
      </c>
      <c r="D44" s="248"/>
      <c r="E44" s="248"/>
      <c r="F44" s="248"/>
      <c r="G44" s="883">
        <f>SUM(G12:G42)</f>
        <v>0</v>
      </c>
      <c r="H44" s="884">
        <f>SUM(H12:H43)</f>
        <v>0</v>
      </c>
      <c r="I44" s="301"/>
      <c r="K44" s="301"/>
    </row>
    <row r="45" spans="2:13" ht="13.8" thickTop="1">
      <c r="B45" s="1361" t="s">
        <v>98</v>
      </c>
      <c r="C45" s="1361"/>
      <c r="D45" s="1361"/>
      <c r="E45" s="1361"/>
      <c r="F45" s="1361"/>
      <c r="G45" s="1352"/>
      <c r="H45" s="1352"/>
    </row>
    <row r="46" spans="2:13">
      <c r="B46" s="302"/>
      <c r="C46" s="302"/>
      <c r="D46" s="302"/>
      <c r="E46" s="302"/>
      <c r="F46" s="302"/>
      <c r="G46" s="302"/>
      <c r="H46" s="302"/>
    </row>
    <row r="47" spans="2:13">
      <c r="B47" s="302"/>
      <c r="C47" s="302"/>
      <c r="D47" s="302"/>
      <c r="E47" s="302"/>
      <c r="F47" s="302"/>
      <c r="G47" s="302"/>
      <c r="H47" s="302"/>
    </row>
    <row r="48" spans="2:13">
      <c r="B48" s="302"/>
      <c r="C48" s="302"/>
      <c r="D48" s="302"/>
      <c r="E48" s="302"/>
      <c r="F48" s="302"/>
      <c r="G48" s="302"/>
      <c r="H48" s="302"/>
    </row>
    <row r="49" spans="2:8">
      <c r="B49" s="302"/>
      <c r="C49" s="302"/>
      <c r="D49" s="302"/>
      <c r="E49" s="302"/>
      <c r="F49" s="302"/>
      <c r="G49" s="302"/>
      <c r="H49" s="302"/>
    </row>
    <row r="50" spans="2:8" ht="13.8">
      <c r="B50" s="1353" t="s">
        <v>3394</v>
      </c>
      <c r="C50" s="1353"/>
      <c r="D50" s="1353"/>
      <c r="E50" s="1353"/>
      <c r="F50" s="1353"/>
      <c r="G50" s="1353"/>
      <c r="H50" s="1353"/>
    </row>
    <row r="55" spans="2:8">
      <c r="H55" s="301"/>
    </row>
  </sheetData>
  <sheetProtection algorithmName="SHA-512" hashValue="f3uF0tGDRXA3rydSjirVK+DQ6HpSyJhMqOJx5+hzhbUJD2u97XY/uChfg738AY3Thd5DhT5GezFU9wRURQ1Drw==" saltValue="7qtyEH7frAZqCZrK9C5Ghw=="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3320C-3ACC-4502-AE16-6329FC1CEDBC}">
  <sheetPr codeName="Sheet227">
    <tabColor theme="2" tint="-0.249977111117893"/>
  </sheetPr>
  <dimension ref="B3:R49"/>
  <sheetViews>
    <sheetView zoomScaleNormal="100" zoomScaleSheetLayoutView="80" workbookViewId="0">
      <selection activeCell="B10" sqref="B10:F10"/>
    </sheetView>
  </sheetViews>
  <sheetFormatPr defaultColWidth="9.109375" defaultRowHeight="13.2"/>
  <cols>
    <col min="1" max="1" width="4.6640625" style="267" customWidth="1"/>
    <col min="2" max="2" width="4.88671875" style="267" customWidth="1"/>
    <col min="3" max="4" width="4.6640625" style="267" customWidth="1"/>
    <col min="5" max="5" width="30.6640625" style="267" customWidth="1"/>
    <col min="6" max="6" width="15.6640625" style="267" customWidth="1"/>
    <col min="7" max="8" width="16.6640625" style="267" customWidth="1"/>
    <col min="9" max="16384" width="9.109375" style="267"/>
  </cols>
  <sheetData>
    <row r="3" spans="2:18" ht="22.8">
      <c r="B3" s="1358" t="s">
        <v>823</v>
      </c>
      <c r="C3" s="1358"/>
      <c r="D3" s="1358"/>
      <c r="E3" s="1358"/>
      <c r="F3" s="1358"/>
      <c r="G3" s="1358"/>
      <c r="H3" s="1358"/>
    </row>
    <row r="4" spans="2:18" ht="22.8">
      <c r="B4" s="1358" t="s">
        <v>824</v>
      </c>
      <c r="C4" s="1358"/>
      <c r="D4" s="1358"/>
      <c r="E4" s="1358"/>
      <c r="F4" s="1358"/>
      <c r="G4" s="1358"/>
      <c r="H4" s="1358"/>
    </row>
    <row r="5" spans="2:18" ht="15.6">
      <c r="B5" s="1360"/>
      <c r="C5" s="1360"/>
      <c r="D5" s="1360"/>
      <c r="E5" s="1360"/>
      <c r="F5" s="1360"/>
      <c r="G5" s="1360"/>
      <c r="H5" s="1360"/>
    </row>
    <row r="6" spans="2:18" ht="13.8">
      <c r="B6" s="1362" t="s">
        <v>825</v>
      </c>
      <c r="C6" s="1362"/>
      <c r="D6" s="1362"/>
      <c r="E6" s="1362"/>
      <c r="F6" s="1362"/>
      <c r="G6" s="1362"/>
      <c r="H6" s="1362"/>
    </row>
    <row r="7" spans="2:18" ht="13.8">
      <c r="B7" s="1362" t="s">
        <v>829</v>
      </c>
      <c r="C7" s="1362"/>
      <c r="D7" s="1362"/>
      <c r="E7" s="1362"/>
      <c r="F7" s="1362"/>
      <c r="G7" s="1362"/>
      <c r="H7" s="1362"/>
    </row>
    <row r="8" spans="2:18" ht="13.8">
      <c r="B8" s="787"/>
      <c r="C8" s="787"/>
      <c r="D8" s="787"/>
      <c r="E8" s="787"/>
      <c r="F8" s="787"/>
      <c r="G8" s="787"/>
      <c r="H8" s="787"/>
    </row>
    <row r="9" spans="2:18" ht="15" customHeight="1" thickBot="1">
      <c r="B9" s="1359" t="str">
        <f>IF('KEY INPUTS'!C42 = "State Fiscal Year", 'KEY INPUTS'!F45,'KEY INPUTS'!D45)</f>
        <v>AS  AT  DECEMBER  31, 2024</v>
      </c>
      <c r="C9" s="1360"/>
      <c r="D9" s="1360"/>
      <c r="E9" s="1360"/>
      <c r="F9" s="1360"/>
      <c r="G9" s="1360"/>
      <c r="H9" s="1360"/>
    </row>
    <row r="10" spans="2:18" ht="36" customHeight="1" thickTop="1" thickBot="1">
      <c r="B10" s="1350" t="s">
        <v>95</v>
      </c>
      <c r="C10" s="1350"/>
      <c r="D10" s="1350"/>
      <c r="E10" s="1350"/>
      <c r="F10" s="1351"/>
      <c r="G10" s="304" t="s">
        <v>96</v>
      </c>
      <c r="H10" s="308" t="s">
        <v>97</v>
      </c>
    </row>
    <row r="11" spans="2:18" ht="21" customHeight="1" thickTop="1">
      <c r="B11" s="574" t="s">
        <v>351</v>
      </c>
      <c r="C11" s="574"/>
      <c r="D11" s="574"/>
      <c r="E11" s="574"/>
      <c r="F11" s="574"/>
      <c r="G11" s="497"/>
      <c r="H11" s="498"/>
      <c r="L11"/>
      <c r="M11"/>
      <c r="N11"/>
      <c r="O11"/>
      <c r="P11"/>
      <c r="Q11"/>
      <c r="R11"/>
    </row>
    <row r="12" spans="2:18" ht="21" customHeight="1">
      <c r="B12" s="495"/>
      <c r="C12" s="495"/>
      <c r="D12" s="495"/>
      <c r="E12" s="495"/>
      <c r="F12" s="495"/>
      <c r="G12" s="450"/>
      <c r="H12" s="457"/>
      <c r="L12"/>
      <c r="M12"/>
      <c r="N12"/>
      <c r="O12"/>
      <c r="P12"/>
      <c r="Q12"/>
      <c r="R12"/>
    </row>
    <row r="13" spans="2:18" ht="21" customHeight="1">
      <c r="B13" s="495"/>
      <c r="C13" s="495"/>
      <c r="D13" s="495"/>
      <c r="E13" s="495"/>
      <c r="F13" s="495"/>
      <c r="G13" s="450"/>
      <c r="H13" s="457"/>
      <c r="L13" s="294"/>
      <c r="M13"/>
      <c r="N13"/>
      <c r="O13"/>
      <c r="P13"/>
      <c r="Q13"/>
      <c r="R13"/>
    </row>
    <row r="14" spans="2:18" ht="21" customHeight="1">
      <c r="B14" s="495"/>
      <c r="C14" s="495"/>
      <c r="D14" s="495"/>
      <c r="E14" s="495"/>
      <c r="F14" s="495"/>
      <c r="G14" s="450"/>
      <c r="H14" s="457"/>
      <c r="L14"/>
      <c r="M14"/>
      <c r="N14"/>
      <c r="O14"/>
      <c r="P14"/>
      <c r="Q14"/>
      <c r="R14"/>
    </row>
    <row r="15" spans="2:18" ht="21" customHeight="1">
      <c r="B15" s="495"/>
      <c r="C15" s="495"/>
      <c r="D15" s="495"/>
      <c r="E15" s="495"/>
      <c r="F15" s="495"/>
      <c r="G15" s="450"/>
      <c r="H15" s="457"/>
      <c r="L15"/>
      <c r="M15"/>
      <c r="N15"/>
      <c r="O15"/>
      <c r="P15"/>
      <c r="Q15"/>
      <c r="R15"/>
    </row>
    <row r="16" spans="2:18" ht="21" customHeight="1">
      <c r="B16" s="495"/>
      <c r="C16" s="495"/>
      <c r="D16" s="495"/>
      <c r="E16" s="495"/>
      <c r="F16" s="495"/>
      <c r="G16" s="450"/>
      <c r="H16" s="457"/>
      <c r="L16"/>
      <c r="M16"/>
      <c r="N16"/>
      <c r="O16"/>
      <c r="P16"/>
      <c r="Q16"/>
      <c r="R16"/>
    </row>
    <row r="17" spans="2:18" ht="21" customHeight="1">
      <c r="B17" s="495"/>
      <c r="C17" s="495"/>
      <c r="D17" s="495"/>
      <c r="E17" s="495"/>
      <c r="F17" s="495"/>
      <c r="G17" s="450"/>
      <c r="H17" s="457"/>
      <c r="L17"/>
      <c r="M17"/>
      <c r="N17"/>
      <c r="O17"/>
      <c r="P17"/>
      <c r="Q17"/>
      <c r="R17"/>
    </row>
    <row r="18" spans="2:18" ht="21" customHeight="1">
      <c r="B18" s="495"/>
      <c r="C18" s="495"/>
      <c r="D18" s="495"/>
      <c r="E18" s="495"/>
      <c r="F18" s="495"/>
      <c r="G18" s="450"/>
      <c r="H18" s="457"/>
      <c r="L18"/>
      <c r="M18"/>
      <c r="N18"/>
      <c r="O18"/>
      <c r="P18"/>
      <c r="Q18"/>
      <c r="R18"/>
    </row>
    <row r="19" spans="2:18" ht="21" customHeight="1">
      <c r="B19" s="495"/>
      <c r="C19" s="495"/>
      <c r="D19" s="495"/>
      <c r="E19" s="495"/>
      <c r="F19" s="495"/>
      <c r="G19" s="450"/>
      <c r="H19" s="457"/>
      <c r="L19"/>
      <c r="M19"/>
      <c r="N19"/>
      <c r="O19"/>
      <c r="P19"/>
      <c r="Q19"/>
      <c r="R19"/>
    </row>
    <row r="20" spans="2:18" ht="21" customHeight="1">
      <c r="B20" s="495"/>
      <c r="C20" s="495"/>
      <c r="D20" s="495"/>
      <c r="E20" s="495"/>
      <c r="F20" s="495"/>
      <c r="G20" s="450"/>
      <c r="H20" s="457"/>
      <c r="L20"/>
      <c r="M20"/>
      <c r="N20"/>
      <c r="O20"/>
      <c r="P20"/>
      <c r="Q20"/>
      <c r="R20"/>
    </row>
    <row r="21" spans="2:18" ht="21" customHeight="1">
      <c r="B21" s="495"/>
      <c r="C21" s="495"/>
      <c r="D21" s="495"/>
      <c r="E21" s="495"/>
      <c r="F21" s="495"/>
      <c r="G21" s="450"/>
      <c r="H21" s="457"/>
      <c r="L21"/>
      <c r="M21"/>
      <c r="N21"/>
      <c r="O21"/>
      <c r="P21"/>
      <c r="Q21"/>
      <c r="R21"/>
    </row>
    <row r="22" spans="2:18" ht="21" customHeight="1">
      <c r="B22" s="495"/>
      <c r="C22" s="495"/>
      <c r="D22" s="495"/>
      <c r="E22" s="495"/>
      <c r="F22" s="495"/>
      <c r="G22" s="450"/>
      <c r="H22" s="457"/>
      <c r="L22"/>
      <c r="M22"/>
      <c r="N22"/>
      <c r="O22"/>
      <c r="P22"/>
      <c r="Q22"/>
      <c r="R22"/>
    </row>
    <row r="23" spans="2:18" ht="21" customHeight="1">
      <c r="B23" s="495"/>
      <c r="C23" s="495"/>
      <c r="D23" s="495"/>
      <c r="E23" s="495"/>
      <c r="F23" s="495"/>
      <c r="G23" s="450"/>
      <c r="H23" s="457"/>
      <c r="L23"/>
      <c r="M23"/>
      <c r="N23"/>
      <c r="O23"/>
      <c r="P23"/>
      <c r="Q23"/>
      <c r="R23"/>
    </row>
    <row r="24" spans="2:18" ht="21" customHeight="1">
      <c r="B24" s="495"/>
      <c r="C24" s="495"/>
      <c r="D24" s="495"/>
      <c r="E24" s="495"/>
      <c r="F24" s="495"/>
      <c r="G24" s="450"/>
      <c r="H24" s="457"/>
      <c r="L24"/>
      <c r="M24"/>
      <c r="N24"/>
      <c r="O24"/>
      <c r="P24"/>
      <c r="Q24"/>
      <c r="R24"/>
    </row>
    <row r="25" spans="2:18" ht="21" customHeight="1">
      <c r="B25" s="495"/>
      <c r="C25" s="495"/>
      <c r="D25" s="495"/>
      <c r="E25" s="495"/>
      <c r="F25" s="495"/>
      <c r="G25" s="450"/>
      <c r="H25" s="457"/>
      <c r="L25"/>
      <c r="M25"/>
      <c r="N25"/>
      <c r="O25"/>
      <c r="P25"/>
      <c r="Q25"/>
      <c r="R25"/>
    </row>
    <row r="26" spans="2:18" ht="21" customHeight="1">
      <c r="B26" s="495"/>
      <c r="C26" s="495"/>
      <c r="D26" s="495"/>
      <c r="E26" s="495"/>
      <c r="F26" s="495"/>
      <c r="G26" s="450"/>
      <c r="H26" s="457"/>
      <c r="L26"/>
      <c r="M26"/>
      <c r="N26"/>
      <c r="O26"/>
      <c r="P26"/>
      <c r="Q26"/>
      <c r="R26"/>
    </row>
    <row r="27" spans="2:18" ht="21" customHeight="1">
      <c r="B27" s="495"/>
      <c r="C27" s="495"/>
      <c r="D27" s="495"/>
      <c r="E27" s="495"/>
      <c r="F27" s="495"/>
      <c r="G27" s="450"/>
      <c r="H27" s="457"/>
      <c r="L27"/>
      <c r="M27"/>
      <c r="N27"/>
      <c r="O27"/>
      <c r="P27"/>
      <c r="Q27"/>
      <c r="R27"/>
    </row>
    <row r="28" spans="2:18" ht="21" customHeight="1">
      <c r="B28" s="495"/>
      <c r="C28" s="495"/>
      <c r="D28" s="495"/>
      <c r="E28" s="495"/>
      <c r="F28" s="495"/>
      <c r="G28" s="450"/>
      <c r="H28" s="457"/>
    </row>
    <row r="29" spans="2:18" ht="21" customHeight="1">
      <c r="B29" s="495"/>
      <c r="C29" s="495"/>
      <c r="D29" s="495"/>
      <c r="E29" s="495"/>
      <c r="F29" s="495"/>
      <c r="G29" s="450"/>
      <c r="H29" s="457"/>
    </row>
    <row r="30" spans="2:18" ht="21" customHeight="1">
      <c r="B30" s="495"/>
      <c r="C30" s="495"/>
      <c r="D30" s="495"/>
      <c r="E30" s="495"/>
      <c r="F30" s="495"/>
      <c r="G30" s="450"/>
      <c r="H30" s="457"/>
    </row>
    <row r="31" spans="2:18" ht="21" customHeight="1">
      <c r="B31" s="495"/>
      <c r="C31" s="495"/>
      <c r="D31" s="495"/>
      <c r="E31" s="495"/>
      <c r="F31" s="495"/>
      <c r="G31" s="450"/>
      <c r="H31" s="457"/>
    </row>
    <row r="32" spans="2:18" ht="21" customHeight="1">
      <c r="B32" s="495"/>
      <c r="C32" s="495"/>
      <c r="D32" s="495"/>
      <c r="E32" s="495"/>
      <c r="F32" s="495"/>
      <c r="G32" s="450"/>
      <c r="H32" s="457"/>
    </row>
    <row r="33" spans="2:8" ht="21" customHeight="1">
      <c r="B33" s="495"/>
      <c r="C33" s="495"/>
      <c r="D33" s="495"/>
      <c r="E33" s="495"/>
      <c r="F33" s="495"/>
      <c r="G33" s="450"/>
      <c r="H33" s="457"/>
    </row>
    <row r="34" spans="2:8" ht="21" customHeight="1">
      <c r="B34" s="495"/>
      <c r="C34" s="495"/>
      <c r="D34" s="495"/>
      <c r="E34" s="495"/>
      <c r="F34" s="495"/>
      <c r="G34" s="450"/>
      <c r="H34" s="457"/>
    </row>
    <row r="35" spans="2:8" ht="21" customHeight="1">
      <c r="B35" s="495"/>
      <c r="C35" s="495"/>
      <c r="D35" s="495"/>
      <c r="E35" s="495"/>
      <c r="F35" s="495"/>
      <c r="G35" s="450"/>
      <c r="H35" s="457"/>
    </row>
    <row r="36" spans="2:8" ht="21" customHeight="1">
      <c r="B36" s="495"/>
      <c r="C36" s="495"/>
      <c r="D36" s="495"/>
      <c r="E36" s="495"/>
      <c r="F36" s="495"/>
      <c r="G36" s="450"/>
      <c r="H36" s="457"/>
    </row>
    <row r="37" spans="2:8" ht="21" customHeight="1">
      <c r="B37" s="495"/>
      <c r="C37" s="495"/>
      <c r="D37" s="495"/>
      <c r="E37" s="495"/>
      <c r="F37" s="495"/>
      <c r="G37" s="450"/>
      <c r="H37" s="457"/>
    </row>
    <row r="38" spans="2:8" ht="21" customHeight="1">
      <c r="B38" s="788" t="s">
        <v>3200</v>
      </c>
      <c r="C38" s="788"/>
      <c r="D38" s="788"/>
      <c r="E38" s="788"/>
      <c r="F38" s="788"/>
      <c r="G38" s="450"/>
      <c r="H38" s="781">
        <f>+'51-Utility4'!G23</f>
        <v>0</v>
      </c>
    </row>
    <row r="39" spans="2:8" ht="21" customHeight="1">
      <c r="B39" s="788" t="s">
        <v>3201</v>
      </c>
      <c r="C39" s="788"/>
      <c r="D39" s="788"/>
      <c r="E39" s="788"/>
      <c r="F39" s="788"/>
      <c r="G39" s="450"/>
      <c r="H39" s="781">
        <f>+'49-Utility4'!G11</f>
        <v>0</v>
      </c>
    </row>
    <row r="40" spans="2:8" ht="21" customHeight="1">
      <c r="B40" s="788" t="s">
        <v>797</v>
      </c>
      <c r="C40" s="788"/>
      <c r="D40" s="788"/>
      <c r="E40" s="788"/>
      <c r="F40" s="788"/>
      <c r="G40" s="450"/>
      <c r="H40" s="781">
        <f>'43-Utility4'!L20</f>
        <v>0</v>
      </c>
    </row>
    <row r="41" spans="2:8" ht="21" customHeight="1">
      <c r="B41" s="495"/>
      <c r="C41" s="495"/>
      <c r="D41" s="495"/>
      <c r="E41" s="495"/>
      <c r="F41" s="495"/>
      <c r="G41" s="450"/>
      <c r="H41" s="457"/>
    </row>
    <row r="42" spans="2:8" ht="21" customHeight="1">
      <c r="B42" s="495"/>
      <c r="C42" s="495"/>
      <c r="D42" s="495"/>
      <c r="E42" s="495"/>
      <c r="F42" s="495"/>
      <c r="G42" s="450"/>
      <c r="H42" s="457"/>
    </row>
    <row r="43" spans="2:8" ht="21" customHeight="1">
      <c r="B43" s="248"/>
      <c r="C43" s="248"/>
      <c r="D43" s="248"/>
      <c r="E43" s="248"/>
      <c r="F43" s="248"/>
      <c r="G43" s="767">
        <f>SUM(G11:G42)</f>
        <v>0</v>
      </c>
      <c r="H43" s="790">
        <f>SUM(H11:H42)</f>
        <v>0</v>
      </c>
    </row>
    <row r="44" spans="2:8">
      <c r="B44" s="1352" t="s">
        <v>98</v>
      </c>
      <c r="C44" s="1352"/>
      <c r="D44" s="1352"/>
      <c r="E44" s="1352"/>
      <c r="F44" s="1352"/>
      <c r="G44" s="1352"/>
      <c r="H44" s="1352"/>
    </row>
    <row r="45" spans="2:8">
      <c r="B45" s="302"/>
      <c r="C45" s="302"/>
      <c r="D45" s="302"/>
      <c r="E45" s="302"/>
      <c r="F45" s="302"/>
      <c r="G45" s="302"/>
      <c r="H45" s="302"/>
    </row>
    <row r="46" spans="2:8">
      <c r="B46" s="302"/>
      <c r="C46" s="302"/>
      <c r="D46" s="302"/>
      <c r="E46" s="302"/>
      <c r="F46" s="302"/>
      <c r="G46" s="302"/>
      <c r="H46" s="302"/>
    </row>
    <row r="47" spans="2:8">
      <c r="B47" s="302"/>
      <c r="C47" s="302"/>
      <c r="D47" s="302"/>
      <c r="E47" s="302"/>
      <c r="F47" s="302"/>
      <c r="G47" s="302"/>
      <c r="H47" s="302"/>
    </row>
    <row r="48" spans="2:8">
      <c r="B48" s="302"/>
      <c r="C48" s="302"/>
      <c r="D48" s="302"/>
      <c r="E48" s="302"/>
      <c r="F48" s="302"/>
      <c r="G48" s="302"/>
      <c r="H48" s="302"/>
    </row>
    <row r="49" spans="2:8" ht="13.8">
      <c r="B49" s="1353" t="s">
        <v>3140</v>
      </c>
      <c r="C49" s="1353"/>
      <c r="D49" s="1353"/>
      <c r="E49" s="1353"/>
      <c r="F49" s="1353"/>
      <c r="G49" s="1353"/>
      <c r="H49" s="1353"/>
    </row>
  </sheetData>
  <sheetProtection algorithmName="SHA-512" hashValue="vjNqU90B332h0rgS9wWtbG7EXmSAtICXllZ6LtAMjBh213uPRn7FEHSJCYTdHEoMhsSLafeO6rMtI78KDORB6w==" saltValue="ycScMqi2eYF35UYZ5mf0XQ=="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EEF33-5B03-4C28-A6E5-A876EF4E75E9}">
  <sheetPr codeName="Sheet228">
    <tabColor theme="2" tint="-0.249977111117893"/>
  </sheetPr>
  <dimension ref="A2:V27"/>
  <sheetViews>
    <sheetView zoomScaleNormal="100" zoomScaleSheetLayoutView="80" workbookViewId="0">
      <selection activeCell="L7" sqref="L7"/>
    </sheetView>
  </sheetViews>
  <sheetFormatPr defaultColWidth="9.109375" defaultRowHeight="13.2"/>
  <cols>
    <col min="1" max="1" width="5.6640625" style="267" customWidth="1"/>
    <col min="2" max="3" width="4.88671875" style="267" customWidth="1"/>
    <col min="4" max="4" width="30.6640625" style="267" customWidth="1"/>
    <col min="5" max="12" width="15.6640625" style="267" customWidth="1"/>
    <col min="13" max="16384" width="9.109375" style="267"/>
  </cols>
  <sheetData>
    <row r="2" spans="1:22" ht="20.399999999999999">
      <c r="B2" s="1363" t="str">
        <f>"ANALYSIS  OF "&amp;UPPER('KEY INPUTS'!D57)&amp;" UTILITY  ASSESSMENT  TRUST  CASH  AND  INVESTMENTS"</f>
        <v>ANALYSIS  OF  UTILITY  ASSESSMENT  TRUST  CASH  AND  INVESTMENTS</v>
      </c>
      <c r="C2" s="1363"/>
      <c r="D2" s="1363"/>
      <c r="E2" s="1363"/>
      <c r="F2" s="1363"/>
      <c r="G2" s="1363"/>
      <c r="H2" s="1363"/>
      <c r="I2" s="1363"/>
      <c r="J2" s="1363"/>
      <c r="K2" s="1363"/>
      <c r="L2" s="1363"/>
    </row>
    <row r="3" spans="1:22" ht="21" thickBot="1">
      <c r="B3" s="1363" t="s">
        <v>830</v>
      </c>
      <c r="C3" s="1363"/>
      <c r="D3" s="1363"/>
      <c r="E3" s="1363"/>
      <c r="F3" s="1363"/>
      <c r="G3" s="1363"/>
      <c r="H3" s="1363"/>
      <c r="I3" s="1363"/>
      <c r="J3" s="1363"/>
      <c r="K3" s="1363"/>
      <c r="L3" s="1363"/>
    </row>
    <row r="4" spans="1:22" ht="13.8" thickTop="1">
      <c r="B4" s="323"/>
      <c r="C4" s="323"/>
      <c r="D4" s="323"/>
      <c r="E4" s="324" t="s">
        <v>528</v>
      </c>
      <c r="F4" s="323"/>
      <c r="G4" s="323"/>
      <c r="H4" s="323"/>
      <c r="I4" s="323"/>
      <c r="J4" s="791"/>
      <c r="K4" s="323"/>
      <c r="L4" s="322"/>
    </row>
    <row r="5" spans="1:22" ht="15.6">
      <c r="C5" s="267" t="s">
        <v>536</v>
      </c>
      <c r="E5" s="320" t="s">
        <v>529</v>
      </c>
      <c r="F5" s="1364" t="s">
        <v>530</v>
      </c>
      <c r="G5" s="1365"/>
      <c r="H5" s="1365"/>
      <c r="I5" s="1366"/>
      <c r="J5" s="792"/>
      <c r="L5" s="321" t="s">
        <v>529</v>
      </c>
    </row>
    <row r="6" spans="1:22">
      <c r="C6" s="267" t="s">
        <v>537</v>
      </c>
      <c r="E6" s="793" t="str">
        <f>IF('KEY INPUTS'!C42 = "State Fiscal Year", 'KEY INPUTS'!F46,'KEY INPUTS'!D46)</f>
        <v>Dec. 31, 2023</v>
      </c>
      <c r="F6" s="320" t="s">
        <v>531</v>
      </c>
      <c r="G6" s="320" t="s">
        <v>248</v>
      </c>
      <c r="H6" s="792"/>
      <c r="I6" s="792"/>
      <c r="J6" s="792"/>
      <c r="K6" s="319" t="s">
        <v>535</v>
      </c>
      <c r="L6" s="794" t="str">
        <f>IF('KEY INPUTS'!C42 = "State Fiscal Year", 'KEY INPUTS'!F47,'KEY INPUTS'!D47)</f>
        <v>Dec. 31, 2024</v>
      </c>
    </row>
    <row r="7" spans="1:22" ht="13.8" thickBot="1">
      <c r="B7" s="318"/>
      <c r="C7" s="318"/>
      <c r="D7" s="318"/>
      <c r="E7" s="316"/>
      <c r="F7" s="317" t="s">
        <v>532</v>
      </c>
      <c r="G7" s="317" t="s">
        <v>534</v>
      </c>
      <c r="H7" s="316"/>
      <c r="I7" s="316"/>
      <c r="J7" s="316"/>
      <c r="K7" s="315"/>
      <c r="L7" s="314"/>
    </row>
    <row r="8" spans="1:22" ht="21" customHeight="1" thickTop="1">
      <c r="B8" s="313" t="s">
        <v>621</v>
      </c>
      <c r="C8" s="313"/>
      <c r="D8" s="795"/>
      <c r="E8" s="757" t="s">
        <v>627</v>
      </c>
      <c r="F8" s="757" t="s">
        <v>627</v>
      </c>
      <c r="G8" s="757" t="s">
        <v>627</v>
      </c>
      <c r="H8" s="757" t="s">
        <v>627</v>
      </c>
      <c r="I8" s="757" t="s">
        <v>627</v>
      </c>
      <c r="J8" s="757" t="s">
        <v>627</v>
      </c>
      <c r="K8" s="757" t="s">
        <v>627</v>
      </c>
      <c r="L8" s="641" t="s">
        <v>627</v>
      </c>
      <c r="P8"/>
      <c r="Q8"/>
      <c r="R8"/>
      <c r="S8"/>
      <c r="T8"/>
      <c r="U8"/>
      <c r="V8"/>
    </row>
    <row r="9" spans="1:22" ht="21" customHeight="1">
      <c r="B9" s="495"/>
      <c r="C9" s="495"/>
      <c r="D9" s="499"/>
      <c r="E9" s="450"/>
      <c r="F9" s="450"/>
      <c r="G9" s="450"/>
      <c r="H9" s="450"/>
      <c r="I9" s="450"/>
      <c r="J9" s="450"/>
      <c r="K9" s="450"/>
      <c r="L9" s="753">
        <f>+E9+F9+G9+H9+I9+J9-K9</f>
        <v>0</v>
      </c>
      <c r="P9"/>
      <c r="Q9"/>
      <c r="R9"/>
      <c r="S9"/>
      <c r="T9"/>
      <c r="U9"/>
      <c r="V9"/>
    </row>
    <row r="10" spans="1:22" ht="21" customHeight="1">
      <c r="B10" s="495"/>
      <c r="C10" s="495"/>
      <c r="D10" s="499"/>
      <c r="E10" s="450"/>
      <c r="F10" s="450"/>
      <c r="G10" s="450"/>
      <c r="H10" s="450"/>
      <c r="I10" s="450"/>
      <c r="J10" s="450"/>
      <c r="K10" s="450"/>
      <c r="L10" s="753">
        <f t="shared" ref="L10:L25" si="0">+E10+F10+G10+H10+I10+J10-K10</f>
        <v>0</v>
      </c>
      <c r="P10" s="294"/>
      <c r="Q10"/>
      <c r="R10"/>
      <c r="S10"/>
      <c r="T10"/>
      <c r="U10"/>
      <c r="V10"/>
    </row>
    <row r="11" spans="1:22" ht="21" customHeight="1">
      <c r="B11" s="495"/>
      <c r="C11" s="495"/>
      <c r="D11" s="499"/>
      <c r="E11" s="450"/>
      <c r="F11" s="450"/>
      <c r="G11" s="450"/>
      <c r="H11" s="450"/>
      <c r="I11" s="450"/>
      <c r="J11" s="450"/>
      <c r="K11" s="450"/>
      <c r="L11" s="753">
        <f t="shared" si="0"/>
        <v>0</v>
      </c>
      <c r="P11"/>
      <c r="Q11"/>
      <c r="R11"/>
      <c r="S11"/>
      <c r="T11"/>
      <c r="U11"/>
      <c r="V11"/>
    </row>
    <row r="12" spans="1:22" ht="21" customHeight="1">
      <c r="B12" s="495"/>
      <c r="C12" s="495"/>
      <c r="D12" s="499"/>
      <c r="E12" s="450"/>
      <c r="F12" s="450"/>
      <c r="G12" s="450"/>
      <c r="H12" s="450"/>
      <c r="I12" s="450"/>
      <c r="J12" s="450"/>
      <c r="K12" s="450"/>
      <c r="L12" s="753">
        <f t="shared" si="0"/>
        <v>0</v>
      </c>
      <c r="P12"/>
      <c r="Q12"/>
      <c r="R12"/>
      <c r="S12"/>
      <c r="T12"/>
      <c r="U12"/>
      <c r="V12"/>
    </row>
    <row r="13" spans="1:22" ht="21" customHeight="1">
      <c r="B13" s="495"/>
      <c r="C13" s="495"/>
      <c r="D13" s="499"/>
      <c r="E13" s="453"/>
      <c r="F13" s="450"/>
      <c r="G13" s="450"/>
      <c r="H13" s="450"/>
      <c r="I13" s="450"/>
      <c r="J13" s="450"/>
      <c r="K13" s="450"/>
      <c r="L13" s="753">
        <f t="shared" si="0"/>
        <v>0</v>
      </c>
      <c r="P13"/>
      <c r="Q13"/>
      <c r="R13"/>
      <c r="S13"/>
      <c r="T13"/>
      <c r="U13"/>
      <c r="V13"/>
    </row>
    <row r="14" spans="1:22" ht="21" customHeight="1">
      <c r="B14" s="248" t="s">
        <v>622</v>
      </c>
      <c r="C14" s="248"/>
      <c r="D14" s="312"/>
      <c r="E14" s="702" t="s">
        <v>627</v>
      </c>
      <c r="F14" s="702" t="s">
        <v>627</v>
      </c>
      <c r="G14" s="702" t="s">
        <v>627</v>
      </c>
      <c r="H14" s="702" t="s">
        <v>627</v>
      </c>
      <c r="I14" s="702" t="s">
        <v>627</v>
      </c>
      <c r="J14" s="702" t="s">
        <v>627</v>
      </c>
      <c r="K14" s="702" t="s">
        <v>627</v>
      </c>
      <c r="L14" s="643" t="s">
        <v>627</v>
      </c>
      <c r="P14"/>
      <c r="Q14"/>
      <c r="R14"/>
      <c r="S14"/>
      <c r="T14"/>
      <c r="U14"/>
      <c r="V14"/>
    </row>
    <row r="15" spans="1:22" ht="21" customHeight="1">
      <c r="A15" s="1367" t="s">
        <v>3141</v>
      </c>
      <c r="B15" s="495"/>
      <c r="C15" s="495"/>
      <c r="D15" s="499"/>
      <c r="E15" s="450"/>
      <c r="F15" s="450"/>
      <c r="G15" s="450"/>
      <c r="H15" s="450"/>
      <c r="I15" s="450"/>
      <c r="J15" s="450"/>
      <c r="K15" s="450"/>
      <c r="L15" s="753">
        <f t="shared" si="0"/>
        <v>0</v>
      </c>
      <c r="P15"/>
      <c r="Q15"/>
      <c r="R15"/>
      <c r="S15"/>
      <c r="T15"/>
      <c r="U15"/>
      <c r="V15"/>
    </row>
    <row r="16" spans="1:22" ht="21" customHeight="1">
      <c r="A16" s="1367"/>
      <c r="B16" s="495"/>
      <c r="C16" s="495"/>
      <c r="D16" s="499"/>
      <c r="E16" s="450"/>
      <c r="F16" s="450"/>
      <c r="G16" s="450"/>
      <c r="H16" s="450"/>
      <c r="I16" s="450"/>
      <c r="J16" s="450"/>
      <c r="K16" s="450"/>
      <c r="L16" s="753">
        <f t="shared" si="0"/>
        <v>0</v>
      </c>
      <c r="P16"/>
      <c r="Q16"/>
      <c r="R16"/>
      <c r="S16"/>
      <c r="T16"/>
      <c r="U16"/>
      <c r="V16"/>
    </row>
    <row r="17" spans="1:22" ht="21" customHeight="1">
      <c r="A17" s="1367"/>
      <c r="B17" s="495"/>
      <c r="C17" s="495"/>
      <c r="D17" s="499"/>
      <c r="E17" s="450"/>
      <c r="F17" s="450"/>
      <c r="G17" s="450"/>
      <c r="H17" s="450"/>
      <c r="I17" s="450"/>
      <c r="J17" s="450"/>
      <c r="K17" s="450"/>
      <c r="L17" s="753">
        <f t="shared" si="0"/>
        <v>0</v>
      </c>
      <c r="P17"/>
      <c r="Q17"/>
      <c r="R17"/>
      <c r="S17"/>
      <c r="T17"/>
      <c r="U17"/>
      <c r="V17"/>
    </row>
    <row r="18" spans="1:22" ht="21" customHeight="1">
      <c r="B18" s="495"/>
      <c r="C18" s="495"/>
      <c r="D18" s="499"/>
      <c r="E18" s="450"/>
      <c r="F18" s="450"/>
      <c r="G18" s="450"/>
      <c r="H18" s="450"/>
      <c r="I18" s="450"/>
      <c r="J18" s="450"/>
      <c r="K18" s="450"/>
      <c r="L18" s="753">
        <f t="shared" si="0"/>
        <v>0</v>
      </c>
      <c r="P18"/>
      <c r="Q18"/>
      <c r="R18"/>
      <c r="S18"/>
      <c r="T18"/>
      <c r="U18"/>
      <c r="V18"/>
    </row>
    <row r="19" spans="1:22" ht="21" customHeight="1">
      <c r="B19" s="248" t="s">
        <v>623</v>
      </c>
      <c r="C19" s="248"/>
      <c r="D19" s="312"/>
      <c r="E19" s="450"/>
      <c r="F19" s="450"/>
      <c r="G19" s="450"/>
      <c r="H19" s="450"/>
      <c r="I19" s="450"/>
      <c r="J19" s="450"/>
      <c r="K19" s="450"/>
      <c r="L19" s="753">
        <f t="shared" si="0"/>
        <v>0</v>
      </c>
      <c r="P19"/>
      <c r="Q19"/>
      <c r="R19"/>
      <c r="S19"/>
      <c r="T19"/>
      <c r="U19"/>
      <c r="V19"/>
    </row>
    <row r="20" spans="1:22" ht="21" customHeight="1">
      <c r="B20" s="248" t="s">
        <v>624</v>
      </c>
      <c r="C20" s="248"/>
      <c r="D20" s="312"/>
      <c r="E20" s="450"/>
      <c r="F20" s="450"/>
      <c r="G20" s="450"/>
      <c r="H20" s="450"/>
      <c r="I20" s="450"/>
      <c r="J20" s="450"/>
      <c r="K20" s="450"/>
      <c r="L20" s="753">
        <f t="shared" si="0"/>
        <v>0</v>
      </c>
      <c r="P20"/>
      <c r="Q20"/>
      <c r="R20"/>
      <c r="S20"/>
      <c r="T20"/>
      <c r="U20"/>
      <c r="V20"/>
    </row>
    <row r="21" spans="1:22" ht="21" customHeight="1">
      <c r="B21" s="248" t="s">
        <v>249</v>
      </c>
      <c r="C21" s="248"/>
      <c r="D21" s="312"/>
      <c r="E21" s="702" t="s">
        <v>627</v>
      </c>
      <c r="F21" s="702" t="s">
        <v>627</v>
      </c>
      <c r="G21" s="702" t="s">
        <v>627</v>
      </c>
      <c r="H21" s="702" t="s">
        <v>627</v>
      </c>
      <c r="I21" s="702" t="s">
        <v>627</v>
      </c>
      <c r="J21" s="702" t="s">
        <v>627</v>
      </c>
      <c r="K21" s="702" t="s">
        <v>627</v>
      </c>
      <c r="L21" s="643" t="s">
        <v>627</v>
      </c>
      <c r="P21"/>
      <c r="Q21"/>
      <c r="R21"/>
      <c r="S21"/>
      <c r="T21"/>
      <c r="U21"/>
      <c r="V21"/>
    </row>
    <row r="22" spans="1:22" ht="21" customHeight="1">
      <c r="B22" s="495"/>
      <c r="C22" s="495"/>
      <c r="D22" s="499"/>
      <c r="E22" s="450"/>
      <c r="F22" s="450"/>
      <c r="G22" s="450"/>
      <c r="H22" s="450"/>
      <c r="I22" s="450"/>
      <c r="J22" s="450"/>
      <c r="K22" s="450"/>
      <c r="L22" s="753">
        <f t="shared" si="0"/>
        <v>0</v>
      </c>
      <c r="P22"/>
      <c r="Q22"/>
      <c r="R22"/>
      <c r="S22"/>
      <c r="T22"/>
      <c r="U22"/>
      <c r="V22"/>
    </row>
    <row r="23" spans="1:22" ht="21" customHeight="1">
      <c r="B23" s="495"/>
      <c r="C23" s="495"/>
      <c r="D23" s="499"/>
      <c r="E23" s="450"/>
      <c r="F23" s="450"/>
      <c r="G23" s="450"/>
      <c r="H23" s="450"/>
      <c r="I23" s="450"/>
      <c r="J23" s="450"/>
      <c r="K23" s="450"/>
      <c r="L23" s="753">
        <f t="shared" si="0"/>
        <v>0</v>
      </c>
      <c r="P23"/>
      <c r="Q23"/>
      <c r="R23"/>
      <c r="S23"/>
      <c r="T23"/>
      <c r="U23"/>
      <c r="V23"/>
    </row>
    <row r="24" spans="1:22" ht="21" customHeight="1">
      <c r="B24" s="495"/>
      <c r="C24" s="495"/>
      <c r="D24" s="499"/>
      <c r="E24" s="450"/>
      <c r="F24" s="450"/>
      <c r="G24" s="450"/>
      <c r="H24" s="450"/>
      <c r="I24" s="450"/>
      <c r="J24" s="450"/>
      <c r="K24" s="450"/>
      <c r="L24" s="753">
        <f t="shared" si="0"/>
        <v>0</v>
      </c>
      <c r="P24"/>
      <c r="Q24"/>
      <c r="R24"/>
      <c r="S24"/>
      <c r="T24"/>
      <c r="U24"/>
      <c r="V24"/>
    </row>
    <row r="25" spans="1:22" ht="21" customHeight="1" thickBot="1">
      <c r="B25" s="495"/>
      <c r="C25" s="495"/>
      <c r="D25" s="499"/>
      <c r="E25" s="475"/>
      <c r="F25" s="475"/>
      <c r="G25" s="475"/>
      <c r="H25" s="475"/>
      <c r="I25" s="475"/>
      <c r="J25" s="475"/>
      <c r="K25" s="475"/>
      <c r="L25" s="796">
        <f t="shared" si="0"/>
        <v>0</v>
      </c>
    </row>
    <row r="26" spans="1:22" ht="21" customHeight="1" thickTop="1" thickBot="1">
      <c r="B26" s="311"/>
      <c r="C26" s="311"/>
      <c r="D26" s="310"/>
      <c r="E26" s="755">
        <f t="shared" ref="E26:K26" si="1">SUM(E9:E25)</f>
        <v>0</v>
      </c>
      <c r="F26" s="755">
        <f t="shared" si="1"/>
        <v>0</v>
      </c>
      <c r="G26" s="755">
        <f t="shared" si="1"/>
        <v>0</v>
      </c>
      <c r="H26" s="755">
        <f t="shared" si="1"/>
        <v>0</v>
      </c>
      <c r="I26" s="755">
        <f t="shared" si="1"/>
        <v>0</v>
      </c>
      <c r="J26" s="755">
        <f t="shared" si="1"/>
        <v>0</v>
      </c>
      <c r="K26" s="755">
        <f t="shared" si="1"/>
        <v>0</v>
      </c>
      <c r="L26" s="797">
        <f>SUM(L9:L25)</f>
        <v>0</v>
      </c>
    </row>
    <row r="27" spans="1:22" ht="13.8" thickTop="1">
      <c r="B27" s="309" t="s">
        <v>626</v>
      </c>
    </row>
  </sheetData>
  <sheetProtection algorithmName="SHA-512" hashValue="2Q3HOhMku92B4hsOBIR6N8xOCwXFPyrzOqKadoMzT7cpjMkXgM0DRidNgx3lLG2W3JwMe8m9D62bHaGp5yaULw==" saltValue="GdEFfGBBpUHahNP3S/iZcw==" spinCount="100000"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F0F84-7E39-4743-B4F7-48B54A479F31}">
  <sheetPr codeName="Sheet229">
    <tabColor theme="2" tint="-0.249977111117893"/>
  </sheetPr>
  <dimension ref="B2:T55"/>
  <sheetViews>
    <sheetView topLeftCell="A10" zoomScaleNormal="100" zoomScaleSheetLayoutView="80" workbookViewId="0">
      <selection activeCell="L30" sqref="L30"/>
    </sheetView>
  </sheetViews>
  <sheetFormatPr defaultColWidth="8.88671875" defaultRowHeight="13.2"/>
  <cols>
    <col min="1" max="1" width="4.6640625" style="267" customWidth="1"/>
    <col min="2" max="3" width="3.6640625" style="267" customWidth="1"/>
    <col min="4" max="4" width="4.6640625" style="267" customWidth="1"/>
    <col min="5" max="5" width="8.88671875" style="267"/>
    <col min="6" max="6" width="16.6640625" style="267" customWidth="1"/>
    <col min="7" max="7" width="8.6640625" style="267" customWidth="1"/>
    <col min="8" max="10" width="16.6640625" style="267" customWidth="1"/>
    <col min="11" max="11" width="8.88671875" style="267"/>
    <col min="12" max="12" width="11.33203125" style="267" bestFit="1" customWidth="1"/>
    <col min="13" max="16384" width="8.88671875" style="267"/>
  </cols>
  <sheetData>
    <row r="2" spans="2:20" ht="22.8">
      <c r="B2" s="1358" t="str">
        <f>"SCHEDULE OF "&amp;UPPER('KEY INPUTS'!D57)&amp;" UTILITY BUDGET  -  "&amp;IF('KEY INPUTS'!C42="State Fiscal Year","FY "&amp;'KEY INPUTS'!D33&amp;"",'KEY INPUTS'!D34)&amp;""</f>
        <v>SCHEDULE OF  UTILITY BUDGET  -  2024</v>
      </c>
      <c r="C2" s="1358"/>
      <c r="D2" s="1358"/>
      <c r="E2" s="1358"/>
      <c r="F2" s="1358"/>
      <c r="G2" s="1358"/>
      <c r="H2" s="1358"/>
      <c r="I2" s="1358"/>
      <c r="J2" s="1358"/>
    </row>
    <row r="3" spans="2:20" ht="12" customHeight="1">
      <c r="B3" s="354"/>
      <c r="C3" s="354"/>
      <c r="D3" s="354"/>
      <c r="E3" s="354"/>
      <c r="F3" s="354"/>
      <c r="G3" s="354"/>
      <c r="H3" s="354"/>
      <c r="I3" s="354"/>
      <c r="J3" s="354"/>
    </row>
    <row r="4" spans="2:20" ht="17.25" customHeight="1" thickBot="1">
      <c r="B4" s="1372" t="s">
        <v>831</v>
      </c>
      <c r="C4" s="1372"/>
      <c r="D4" s="1372"/>
      <c r="E4" s="1372"/>
      <c r="F4" s="1372"/>
      <c r="G4" s="1372"/>
      <c r="H4" s="1372"/>
      <c r="I4" s="1372"/>
      <c r="J4" s="1372"/>
    </row>
    <row r="5" spans="2:20" ht="13.8" thickTop="1">
      <c r="B5" s="1368" t="s">
        <v>165</v>
      </c>
      <c r="C5" s="1368"/>
      <c r="D5" s="1368"/>
      <c r="E5" s="1368"/>
      <c r="F5" s="1368"/>
      <c r="G5" s="1369"/>
      <c r="H5" s="324" t="s">
        <v>534</v>
      </c>
      <c r="I5" s="324" t="s">
        <v>637</v>
      </c>
      <c r="J5" s="353" t="s">
        <v>319</v>
      </c>
    </row>
    <row r="6" spans="2:20" ht="13.8" thickBot="1">
      <c r="B6" s="1370"/>
      <c r="C6" s="1370"/>
      <c r="D6" s="1370"/>
      <c r="E6" s="1370"/>
      <c r="F6" s="1370"/>
      <c r="G6" s="1371"/>
      <c r="H6" s="352"/>
      <c r="I6" s="352" t="s">
        <v>318</v>
      </c>
      <c r="J6" s="351" t="s">
        <v>320</v>
      </c>
    </row>
    <row r="7" spans="2:20" ht="21" customHeight="1" thickTop="1">
      <c r="B7" s="313" t="s">
        <v>3154</v>
      </c>
      <c r="C7" s="313"/>
      <c r="D7" s="313"/>
      <c r="E7" s="313"/>
      <c r="F7" s="313"/>
      <c r="G7" s="350"/>
      <c r="H7" s="454"/>
      <c r="I7" s="887">
        <f>H7</f>
        <v>0</v>
      </c>
      <c r="J7" s="827">
        <f>+I7-H7</f>
        <v>0</v>
      </c>
    </row>
    <row r="8" spans="2:20" ht="10.5" customHeight="1">
      <c r="B8" s="309" t="s">
        <v>3153</v>
      </c>
      <c r="G8" s="347"/>
      <c r="H8" s="886"/>
      <c r="I8" s="886"/>
      <c r="J8" s="776"/>
    </row>
    <row r="9" spans="2:20">
      <c r="B9" s="333" t="s">
        <v>168</v>
      </c>
      <c r="C9" s="333"/>
      <c r="D9" s="333"/>
      <c r="E9" s="333"/>
      <c r="F9" s="333"/>
      <c r="G9" s="341"/>
      <c r="H9" s="500"/>
      <c r="I9" s="500"/>
      <c r="J9" s="638">
        <f t="shared" ref="J9:J15" si="0">+I9-H9</f>
        <v>0</v>
      </c>
    </row>
    <row r="10" spans="2:20" ht="21" customHeight="1">
      <c r="B10" s="495"/>
      <c r="C10" s="495"/>
      <c r="D10" s="495"/>
      <c r="E10" s="495"/>
      <c r="F10" s="495"/>
      <c r="G10" s="798"/>
      <c r="H10" s="596"/>
      <c r="I10" s="596"/>
      <c r="J10" s="888">
        <f t="shared" si="0"/>
        <v>0</v>
      </c>
      <c r="N10"/>
      <c r="O10"/>
      <c r="P10"/>
      <c r="Q10"/>
      <c r="R10"/>
      <c r="S10"/>
      <c r="T10"/>
    </row>
    <row r="11" spans="2:20" ht="21" customHeight="1">
      <c r="B11" s="495"/>
      <c r="C11" s="495"/>
      <c r="D11" s="495"/>
      <c r="E11" s="495"/>
      <c r="F11" s="495"/>
      <c r="G11" s="798"/>
      <c r="H11" s="596"/>
      <c r="I11" s="596"/>
      <c r="J11" s="780">
        <f t="shared" si="0"/>
        <v>0</v>
      </c>
      <c r="N11"/>
      <c r="O11"/>
      <c r="P11"/>
      <c r="Q11"/>
      <c r="R11"/>
      <c r="S11"/>
      <c r="T11"/>
    </row>
    <row r="12" spans="2:20" ht="21" customHeight="1">
      <c r="B12" s="495"/>
      <c r="C12" s="495"/>
      <c r="D12" s="495"/>
      <c r="E12" s="495"/>
      <c r="F12" s="495"/>
      <c r="G12" s="798"/>
      <c r="H12" s="596"/>
      <c r="I12" s="596"/>
      <c r="J12" s="780">
        <f t="shared" si="0"/>
        <v>0</v>
      </c>
      <c r="N12" s="294"/>
      <c r="O12"/>
      <c r="P12"/>
      <c r="Q12"/>
      <c r="R12"/>
      <c r="S12"/>
      <c r="T12"/>
    </row>
    <row r="13" spans="2:20" ht="21" customHeight="1">
      <c r="B13" s="495"/>
      <c r="C13" s="495"/>
      <c r="D13" s="495"/>
      <c r="E13" s="495"/>
      <c r="F13" s="495"/>
      <c r="G13" s="798"/>
      <c r="H13" s="596"/>
      <c r="I13" s="596"/>
      <c r="J13" s="780">
        <f t="shared" si="0"/>
        <v>0</v>
      </c>
      <c r="N13"/>
      <c r="O13"/>
      <c r="P13"/>
      <c r="Q13"/>
      <c r="R13"/>
      <c r="S13"/>
      <c r="T13"/>
    </row>
    <row r="14" spans="2:20" ht="21" customHeight="1">
      <c r="B14" s="495"/>
      <c r="C14" s="495"/>
      <c r="D14" s="495"/>
      <c r="E14" s="495"/>
      <c r="F14" s="495"/>
      <c r="G14" s="798"/>
      <c r="H14" s="596"/>
      <c r="I14" s="596"/>
      <c r="J14" s="780">
        <f t="shared" si="0"/>
        <v>0</v>
      </c>
      <c r="N14"/>
      <c r="O14"/>
      <c r="P14"/>
      <c r="Q14"/>
      <c r="R14"/>
      <c r="S14"/>
      <c r="T14"/>
    </row>
    <row r="15" spans="2:20" ht="21" customHeight="1">
      <c r="B15" s="248" t="s">
        <v>3152</v>
      </c>
      <c r="C15" s="248"/>
      <c r="D15" s="248"/>
      <c r="E15" s="248"/>
      <c r="F15" s="248"/>
      <c r="G15" s="341"/>
      <c r="H15" s="596"/>
      <c r="I15" s="596"/>
      <c r="J15" s="780">
        <f t="shared" si="0"/>
        <v>0</v>
      </c>
      <c r="N15"/>
      <c r="O15"/>
      <c r="P15"/>
      <c r="Q15"/>
      <c r="R15"/>
      <c r="S15"/>
      <c r="T15"/>
    </row>
    <row r="16" spans="2:20" ht="21" customHeight="1">
      <c r="B16" s="248" t="s">
        <v>3151</v>
      </c>
      <c r="C16" s="248"/>
      <c r="D16" s="248"/>
      <c r="E16" s="248"/>
      <c r="F16" s="248"/>
      <c r="G16" s="341"/>
      <c r="H16" s="596"/>
      <c r="I16" s="596"/>
      <c r="J16" s="780"/>
      <c r="N16"/>
      <c r="O16"/>
      <c r="P16"/>
      <c r="Q16"/>
      <c r="R16"/>
      <c r="S16"/>
      <c r="T16"/>
    </row>
    <row r="17" spans="2:20" ht="21" customHeight="1">
      <c r="B17" s="248" t="s">
        <v>3570</v>
      </c>
      <c r="C17" s="248"/>
      <c r="D17" s="248"/>
      <c r="E17" s="248"/>
      <c r="F17" s="248"/>
      <c r="G17" s="341"/>
      <c r="H17" s="804" t="s">
        <v>627</v>
      </c>
      <c r="I17" s="804" t="s">
        <v>627</v>
      </c>
      <c r="J17" s="885" t="s">
        <v>627</v>
      </c>
      <c r="N17"/>
      <c r="O17"/>
      <c r="P17"/>
      <c r="Q17"/>
      <c r="R17"/>
      <c r="S17"/>
      <c r="T17"/>
    </row>
    <row r="18" spans="2:20" ht="21" customHeight="1">
      <c r="B18" s="495"/>
      <c r="C18" s="495"/>
      <c r="D18" s="495"/>
      <c r="E18" s="495"/>
      <c r="F18" s="495"/>
      <c r="G18" s="495"/>
      <c r="H18" s="450"/>
      <c r="I18" s="450"/>
      <c r="J18" s="780">
        <f>I18-H18</f>
        <v>0</v>
      </c>
      <c r="N18"/>
      <c r="O18"/>
      <c r="P18"/>
      <c r="Q18"/>
      <c r="R18"/>
      <c r="S18"/>
      <c r="T18"/>
    </row>
    <row r="19" spans="2:20" ht="21" customHeight="1" thickBot="1">
      <c r="B19" s="495"/>
      <c r="C19" s="495"/>
      <c r="D19" s="495"/>
      <c r="E19" s="495"/>
      <c r="F19" s="495"/>
      <c r="G19" s="495"/>
      <c r="H19" s="475"/>
      <c r="I19" s="475"/>
      <c r="J19" s="989">
        <f>I19-H19</f>
        <v>0</v>
      </c>
      <c r="N19"/>
      <c r="O19"/>
      <c r="P19"/>
      <c r="Q19"/>
      <c r="R19"/>
      <c r="S19"/>
      <c r="T19"/>
    </row>
    <row r="20" spans="2:20" ht="21" customHeight="1" thickTop="1">
      <c r="B20" s="248"/>
      <c r="C20" s="248"/>
      <c r="D20" s="248" t="s">
        <v>317</v>
      </c>
      <c r="E20" s="248"/>
      <c r="F20" s="248"/>
      <c r="G20" s="344"/>
      <c r="H20" s="890">
        <f>SUM(H7:H19)</f>
        <v>0</v>
      </c>
      <c r="I20" s="890">
        <f>SUM(I7:I19)</f>
        <v>0</v>
      </c>
      <c r="J20" s="638">
        <f>SUM(J7:J19)</f>
        <v>0</v>
      </c>
      <c r="N20"/>
      <c r="O20"/>
      <c r="P20"/>
      <c r="Q20"/>
      <c r="R20"/>
      <c r="S20"/>
      <c r="T20"/>
    </row>
    <row r="21" spans="2:20" ht="21" customHeight="1" thickBot="1">
      <c r="B21" s="248" t="s">
        <v>3150</v>
      </c>
      <c r="C21" s="342"/>
      <c r="D21" s="342"/>
      <c r="E21" s="248"/>
      <c r="F21" s="248"/>
      <c r="G21" s="341"/>
      <c r="H21" s="501"/>
      <c r="I21" s="501"/>
      <c r="J21" s="776">
        <f>I21-H21</f>
        <v>0</v>
      </c>
      <c r="N21"/>
      <c r="O21"/>
      <c r="P21"/>
      <c r="Q21"/>
      <c r="R21"/>
      <c r="S21"/>
      <c r="T21"/>
    </row>
    <row r="22" spans="2:20" ht="21" customHeight="1" thickTop="1" thickBot="1">
      <c r="G22" s="340"/>
      <c r="H22" s="891">
        <f>+H20+H21</f>
        <v>0</v>
      </c>
      <c r="I22" s="891">
        <f>+I20+I21</f>
        <v>0</v>
      </c>
      <c r="J22" s="889">
        <f>+J20+J21</f>
        <v>0</v>
      </c>
      <c r="L22" s="301" t="s">
        <v>3131</v>
      </c>
      <c r="N22"/>
      <c r="O22"/>
      <c r="P22"/>
      <c r="Q22"/>
      <c r="R22"/>
      <c r="S22"/>
      <c r="T22"/>
    </row>
    <row r="23" spans="2:20" ht="13.8" thickTop="1">
      <c r="B23" s="309" t="s">
        <v>3149</v>
      </c>
      <c r="N23"/>
      <c r="O23"/>
      <c r="P23"/>
      <c r="Q23"/>
      <c r="R23"/>
      <c r="S23"/>
      <c r="T23"/>
    </row>
    <row r="24" spans="2:20">
      <c r="B24" s="309" t="s">
        <v>3148</v>
      </c>
      <c r="N24"/>
      <c r="O24"/>
      <c r="P24"/>
      <c r="Q24"/>
      <c r="R24"/>
      <c r="S24"/>
      <c r="T24"/>
    </row>
    <row r="25" spans="2:20">
      <c r="N25"/>
      <c r="O25"/>
      <c r="P25"/>
      <c r="Q25"/>
      <c r="R25"/>
      <c r="S25"/>
      <c r="T25"/>
    </row>
    <row r="26" spans="2:20">
      <c r="N26"/>
      <c r="O26"/>
      <c r="P26"/>
      <c r="Q26"/>
      <c r="R26"/>
      <c r="S26"/>
      <c r="T26"/>
    </row>
    <row r="27" spans="2:20" ht="17.25" customHeight="1" thickBot="1">
      <c r="B27" s="1372" t="s">
        <v>321</v>
      </c>
      <c r="C27" s="1372"/>
      <c r="D27" s="1372"/>
      <c r="E27" s="1372"/>
      <c r="F27" s="1372"/>
      <c r="G27" s="1372"/>
      <c r="H27" s="1372"/>
      <c r="I27" s="1372"/>
      <c r="J27" s="1372"/>
    </row>
    <row r="28" spans="2:20" ht="21" customHeight="1" thickTop="1">
      <c r="B28" s="337" t="s">
        <v>322</v>
      </c>
      <c r="C28" s="313"/>
      <c r="D28" s="313"/>
      <c r="E28" s="313"/>
      <c r="F28" s="313"/>
      <c r="G28" s="313"/>
      <c r="H28" s="313"/>
      <c r="I28" s="892"/>
      <c r="J28" s="893" t="s">
        <v>627</v>
      </c>
    </row>
    <row r="29" spans="2:20" ht="21" customHeight="1">
      <c r="B29" s="334"/>
      <c r="C29" s="333" t="s">
        <v>174</v>
      </c>
      <c r="D29" s="333"/>
      <c r="E29" s="333"/>
      <c r="F29" s="333"/>
      <c r="G29" s="333"/>
      <c r="H29" s="333"/>
      <c r="I29" s="894"/>
      <c r="J29" s="502"/>
    </row>
    <row r="30" spans="2:20" ht="21" customHeight="1">
      <c r="B30" s="334"/>
      <c r="C30" s="333" t="s">
        <v>3571</v>
      </c>
      <c r="D30" s="333"/>
      <c r="E30" s="333"/>
      <c r="F30" s="333"/>
      <c r="G30" s="333"/>
      <c r="H30" s="333"/>
      <c r="I30" s="894"/>
      <c r="J30" s="502"/>
    </row>
    <row r="31" spans="2:20" ht="21" customHeight="1" thickBot="1">
      <c r="B31" s="334"/>
      <c r="C31" s="333" t="s">
        <v>323</v>
      </c>
      <c r="D31" s="333"/>
      <c r="E31" s="333"/>
      <c r="F31" s="333"/>
      <c r="G31" s="333"/>
      <c r="H31" s="333"/>
      <c r="I31" s="894"/>
      <c r="J31" s="503"/>
    </row>
    <row r="32" spans="2:20" ht="21" customHeight="1" thickTop="1">
      <c r="B32" s="334" t="s">
        <v>324</v>
      </c>
      <c r="C32" s="333"/>
      <c r="D32" s="333"/>
      <c r="E32" s="333"/>
      <c r="F32" s="333"/>
      <c r="G32" s="333"/>
      <c r="H32" s="333"/>
      <c r="I32" s="895"/>
      <c r="J32" s="896">
        <f>SUM(J29:J31)</f>
        <v>0</v>
      </c>
    </row>
    <row r="33" spans="2:13" ht="21" customHeight="1" thickBot="1">
      <c r="B33" s="334" t="s">
        <v>325</v>
      </c>
      <c r="C33" s="333"/>
      <c r="D33" s="333"/>
      <c r="E33" s="333"/>
      <c r="F33" s="333"/>
      <c r="G33" s="333"/>
      <c r="H33" s="333"/>
      <c r="I33" s="895"/>
      <c r="J33" s="503"/>
    </row>
    <row r="34" spans="2:13" ht="21" customHeight="1" thickTop="1">
      <c r="B34" s="334" t="s">
        <v>726</v>
      </c>
      <c r="C34" s="333"/>
      <c r="D34" s="333"/>
      <c r="E34" s="333"/>
      <c r="F34" s="333"/>
      <c r="G34" s="333"/>
      <c r="H34" s="333"/>
      <c r="I34" s="895"/>
      <c r="J34" s="896">
        <f>+J32+J33</f>
        <v>0</v>
      </c>
    </row>
    <row r="35" spans="2:13" ht="21" customHeight="1">
      <c r="B35" s="334" t="s">
        <v>326</v>
      </c>
      <c r="C35" s="333"/>
      <c r="D35" s="333"/>
      <c r="E35" s="333"/>
      <c r="F35" s="333"/>
      <c r="G35" s="333"/>
      <c r="H35" s="333"/>
      <c r="I35" s="895"/>
      <c r="J35" s="897"/>
    </row>
    <row r="36" spans="2:13" ht="21" customHeight="1">
      <c r="B36" s="248"/>
      <c r="C36" s="248" t="s">
        <v>593</v>
      </c>
      <c r="D36" s="248"/>
      <c r="E36" s="248"/>
      <c r="F36" s="248"/>
      <c r="G36" s="248"/>
      <c r="H36" s="248"/>
      <c r="I36" s="504"/>
      <c r="J36" s="898"/>
    </row>
    <row r="37" spans="2:13" ht="21" customHeight="1">
      <c r="B37" s="248"/>
      <c r="C37" s="248" t="s">
        <v>730</v>
      </c>
      <c r="D37" s="248"/>
      <c r="E37" s="248"/>
      <c r="F37" s="248"/>
      <c r="G37" s="248"/>
      <c r="H37" s="248"/>
      <c r="I37" s="504"/>
      <c r="J37" s="898"/>
    </row>
    <row r="38" spans="2:13" ht="21" customHeight="1" thickBot="1">
      <c r="B38" s="248" t="s">
        <v>327</v>
      </c>
      <c r="C38" s="248"/>
      <c r="D38" s="248"/>
      <c r="E38" s="248"/>
      <c r="F38" s="248"/>
      <c r="G38" s="248"/>
      <c r="H38" s="248"/>
      <c r="I38" s="505"/>
      <c r="J38" s="502"/>
      <c r="M38" s="301"/>
    </row>
    <row r="39" spans="2:13" ht="21" customHeight="1" thickTop="1" thickBot="1">
      <c r="B39" s="248" t="s">
        <v>731</v>
      </c>
      <c r="C39" s="248"/>
      <c r="D39" s="248"/>
      <c r="E39" s="248"/>
      <c r="F39" s="248"/>
      <c r="G39" s="248"/>
      <c r="H39" s="248"/>
      <c r="I39" s="899"/>
      <c r="J39" s="901">
        <f>SUM(I36:I38)</f>
        <v>0</v>
      </c>
    </row>
    <row r="40" spans="2:13" ht="21" customHeight="1" thickTop="1" thickBot="1">
      <c r="B40" s="248" t="s">
        <v>328</v>
      </c>
      <c r="C40" s="248"/>
      <c r="D40" s="248"/>
      <c r="E40" s="248"/>
      <c r="F40" s="248"/>
      <c r="G40" s="248"/>
      <c r="H40" s="248"/>
      <c r="I40" s="900"/>
      <c r="J40" s="902">
        <f>+J34-J39</f>
        <v>0</v>
      </c>
      <c r="K40" s="301"/>
    </row>
    <row r="41" spans="2:13" ht="13.8" thickTop="1"/>
    <row r="42" spans="2:13">
      <c r="B42" s="309" t="s">
        <v>3147</v>
      </c>
      <c r="C42" s="309"/>
      <c r="D42" s="309"/>
      <c r="E42" s="309"/>
      <c r="F42" s="309"/>
    </row>
    <row r="43" spans="2:13">
      <c r="B43" s="309"/>
      <c r="C43" s="309" t="s">
        <v>3146</v>
      </c>
      <c r="D43" s="309"/>
      <c r="E43" s="309"/>
      <c r="F43" s="309"/>
    </row>
    <row r="44" spans="2:13">
      <c r="B44" s="309"/>
      <c r="C44" s="309"/>
      <c r="D44" s="309" t="s">
        <v>3145</v>
      </c>
      <c r="E44" s="309"/>
      <c r="F44" s="309"/>
      <c r="M44" s="301"/>
    </row>
    <row r="45" spans="2:13">
      <c r="B45" s="309"/>
      <c r="C45" s="309" t="s">
        <v>39</v>
      </c>
      <c r="D45" s="309"/>
      <c r="E45" s="309"/>
      <c r="F45" s="309"/>
    </row>
    <row r="46" spans="2:13">
      <c r="B46" s="309"/>
      <c r="C46" s="309" t="s">
        <v>3144</v>
      </c>
      <c r="D46" s="309"/>
      <c r="E46" s="309"/>
      <c r="F46" s="309"/>
    </row>
    <row r="47" spans="2:13">
      <c r="B47" s="309"/>
      <c r="C47" s="309"/>
      <c r="D47" s="309" t="s">
        <v>3143</v>
      </c>
      <c r="E47" s="309"/>
      <c r="F47" s="309"/>
    </row>
    <row r="48" spans="2:13">
      <c r="B48" s="309"/>
      <c r="C48" s="309"/>
      <c r="D48" s="309"/>
      <c r="E48" s="309"/>
      <c r="F48" s="309"/>
    </row>
    <row r="55" spans="2:10" ht="13.8">
      <c r="B55" s="1353" t="s">
        <v>3142</v>
      </c>
      <c r="C55" s="1353"/>
      <c r="D55" s="1353"/>
      <c r="E55" s="1353"/>
      <c r="F55" s="1353"/>
      <c r="G55" s="1353"/>
      <c r="H55" s="1353"/>
      <c r="I55" s="1353"/>
      <c r="J55" s="1353"/>
    </row>
  </sheetData>
  <sheetProtection algorithmName="SHA-512" hashValue="4ZQCh2MaU32YCJdwhL6FLwwyGwRUqAlIseQVOxsvQRxkHF1ZCyiEod9tVYv8+Yl1n0ES9bFAIOh6ptRAYO181A==" saltValue="E9w/HbWoLQUFC7lnBFc8ig=="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D6A33-DDF3-483A-98EB-705472297D87}">
  <sheetPr codeName="Sheet230">
    <tabColor theme="2" tint="-0.249977111117893"/>
  </sheetPr>
  <dimension ref="B3:T57"/>
  <sheetViews>
    <sheetView topLeftCell="A22" zoomScaleNormal="100" zoomScaleSheetLayoutView="80" workbookViewId="0">
      <selection activeCell="E50" sqref="E50"/>
    </sheetView>
  </sheetViews>
  <sheetFormatPr defaultColWidth="8.88671875" defaultRowHeight="13.2"/>
  <cols>
    <col min="1" max="1" width="4.6640625" style="267" customWidth="1"/>
    <col min="2" max="2" width="6.109375" style="267" customWidth="1"/>
    <col min="3" max="3" width="3.33203125" style="267" customWidth="1"/>
    <col min="4" max="4" width="2.6640625" style="267" customWidth="1"/>
    <col min="5" max="5" width="8.88671875" style="267"/>
    <col min="6" max="6" width="5.88671875" style="267" customWidth="1"/>
    <col min="7" max="7" width="8.88671875" style="267"/>
    <col min="8" max="8" width="16" style="267" customWidth="1"/>
    <col min="9" max="9" width="8.88671875" style="267"/>
    <col min="10" max="11" width="16.6640625" style="267" customWidth="1"/>
    <col min="12" max="12" width="8.88671875" style="267"/>
    <col min="13" max="13" width="11.33203125" style="267" customWidth="1"/>
    <col min="14" max="16384" width="8.88671875" style="267"/>
  </cols>
  <sheetData>
    <row r="3" spans="2:20" ht="22.8">
      <c r="B3" s="1358" t="str">
        <f>"STATEMENT  OF  "&amp;IF('KEY INPUTS'!C42="State Fiscal Year","FISCAL  YEAR  "&amp;'KEY INPUTS'!D33&amp;"",'KEY INPUTS'!D34)&amp;"  OPERATION"</f>
        <v>STATEMENT  OF  2024  OPERATION</v>
      </c>
      <c r="C3" s="1358"/>
      <c r="D3" s="1358"/>
      <c r="E3" s="1358"/>
      <c r="F3" s="1358"/>
      <c r="G3" s="1358"/>
      <c r="H3" s="1358"/>
      <c r="I3" s="1358"/>
      <c r="J3" s="1358"/>
      <c r="K3" s="1358"/>
    </row>
    <row r="5" spans="2:20" ht="20.399999999999999">
      <c r="B5" s="1363" t="str">
        <f>UPPER('KEY INPUTS'!D57)&amp;" UTILITY"</f>
        <v xml:space="preserve"> UTILITY</v>
      </c>
      <c r="C5" s="1363"/>
      <c r="D5" s="1363"/>
      <c r="E5" s="1363"/>
      <c r="F5" s="1363"/>
      <c r="G5" s="1363"/>
      <c r="H5" s="1363"/>
      <c r="I5" s="1363"/>
      <c r="J5" s="1363"/>
      <c r="K5" s="1363"/>
    </row>
    <row r="8" spans="2:20">
      <c r="B8" s="267" t="s">
        <v>313</v>
      </c>
      <c r="C8" s="267" t="str">
        <f>"Section 1 of this sheet is required to be filled out ONLY IF the "&amp;IF('KEY INPUTS'!C42="State Fiscal Year","Fiscal Year "&amp;'KEY INPUTS'!D33&amp;"",'KEY INPUTS'!D34)&amp;" "&amp;PROPER('KEY INPUTS'!D57)&amp;" Utility Budget contained"</f>
        <v>Section 1 of this sheet is required to be filled out ONLY IF the 2024  Utility Budget contained</v>
      </c>
    </row>
    <row r="9" spans="2:20">
      <c r="C9" s="267" t="s">
        <v>329</v>
      </c>
    </row>
    <row r="10" spans="2:20">
      <c r="C10" s="267" t="s">
        <v>330</v>
      </c>
    </row>
    <row r="11" spans="2:20">
      <c r="C11" s="799" t="s">
        <v>3158</v>
      </c>
    </row>
    <row r="13" spans="2:20" ht="17.399999999999999">
      <c r="B13" s="800" t="s">
        <v>331</v>
      </c>
    </row>
    <row r="14" spans="2:20" ht="13.8" thickBot="1">
      <c r="B14" s="318"/>
      <c r="C14" s="318"/>
      <c r="D14" s="318"/>
      <c r="E14" s="318"/>
      <c r="F14" s="318"/>
      <c r="G14" s="318"/>
      <c r="H14" s="318"/>
      <c r="I14" s="318"/>
      <c r="J14" s="318"/>
      <c r="K14" s="318"/>
    </row>
    <row r="15" spans="2:20" ht="21" customHeight="1" thickTop="1">
      <c r="B15" s="313" t="s">
        <v>332</v>
      </c>
      <c r="C15" s="313"/>
      <c r="D15" s="313"/>
      <c r="E15" s="313"/>
      <c r="F15" s="313"/>
      <c r="G15" s="313"/>
      <c r="H15" s="313"/>
      <c r="I15" s="313"/>
      <c r="J15" s="801" t="s">
        <v>627</v>
      </c>
      <c r="K15" s="628"/>
      <c r="N15"/>
      <c r="O15"/>
      <c r="P15"/>
      <c r="Q15"/>
      <c r="R15"/>
      <c r="S15"/>
      <c r="T15"/>
    </row>
    <row r="16" spans="2:20" ht="21" customHeight="1">
      <c r="B16" s="248"/>
      <c r="C16" s="248" t="s">
        <v>333</v>
      </c>
      <c r="D16" s="248"/>
      <c r="E16" s="248"/>
      <c r="F16" s="248"/>
      <c r="G16" s="248"/>
      <c r="H16" s="248"/>
      <c r="I16" s="248"/>
      <c r="J16" s="629">
        <f>+'44-Utility4'!I20</f>
        <v>0</v>
      </c>
      <c r="K16" s="628"/>
      <c r="N16"/>
      <c r="O16"/>
      <c r="P16"/>
      <c r="Q16"/>
      <c r="R16"/>
      <c r="S16"/>
      <c r="T16"/>
    </row>
    <row r="17" spans="2:20" ht="21" customHeight="1">
      <c r="B17" s="248"/>
      <c r="C17" s="248" t="s">
        <v>334</v>
      </c>
      <c r="D17" s="248"/>
      <c r="E17" s="248"/>
      <c r="F17" s="248"/>
      <c r="G17" s="248"/>
      <c r="H17" s="248"/>
      <c r="I17" s="248"/>
      <c r="J17" s="426"/>
      <c r="K17" s="628"/>
      <c r="N17" s="294"/>
      <c r="O17"/>
      <c r="P17"/>
      <c r="Q17"/>
      <c r="R17"/>
      <c r="S17"/>
      <c r="T17"/>
    </row>
    <row r="18" spans="2:20" ht="21" customHeight="1">
      <c r="B18" s="248"/>
      <c r="C18" s="248" t="str">
        <f>IF('KEY INPUTS'!C42="State Fiscal Year","FY "&amp;'KEY INPUTS'!D33-1&amp;"",'KEY INPUTS'!D34-1)&amp;" Appropriation Reserves Canceled in "&amp;IF('KEY INPUTS'!C42="State Fiscal Year","FY "&amp;'KEY INPUTS'!D33&amp;"",'KEY INPUTS'!D34)</f>
        <v>2023 Appropriation Reserves Canceled in 2024</v>
      </c>
      <c r="D18" s="802"/>
      <c r="E18" s="802"/>
      <c r="F18" s="802"/>
      <c r="G18" s="802"/>
      <c r="H18" s="248"/>
      <c r="I18" s="248"/>
      <c r="J18" s="291"/>
      <c r="K18" s="628"/>
      <c r="N18"/>
      <c r="O18"/>
      <c r="P18"/>
      <c r="Q18"/>
      <c r="R18"/>
      <c r="S18"/>
      <c r="T18"/>
    </row>
    <row r="19" spans="2:20" ht="21" customHeight="1">
      <c r="B19" s="248"/>
      <c r="C19" s="495"/>
      <c r="D19" s="495"/>
      <c r="E19" s="495"/>
      <c r="F19" s="495"/>
      <c r="G19" s="495"/>
      <c r="H19" s="495"/>
      <c r="I19" s="495"/>
      <c r="J19" s="291"/>
      <c r="K19" s="628"/>
      <c r="N19"/>
      <c r="O19"/>
      <c r="P19"/>
      <c r="Q19"/>
      <c r="R19"/>
      <c r="S19"/>
      <c r="T19"/>
    </row>
    <row r="20" spans="2:20" ht="21" customHeight="1">
      <c r="B20" s="248"/>
      <c r="C20" s="495"/>
      <c r="D20" s="495"/>
      <c r="E20" s="495"/>
      <c r="F20" s="495"/>
      <c r="G20" s="495"/>
      <c r="H20" s="495"/>
      <c r="I20" s="495"/>
      <c r="J20" s="291"/>
      <c r="K20" s="628"/>
      <c r="N20"/>
      <c r="O20"/>
      <c r="P20"/>
      <c r="Q20"/>
      <c r="R20"/>
      <c r="S20"/>
      <c r="T20"/>
    </row>
    <row r="21" spans="2:20" ht="21" customHeight="1">
      <c r="B21" s="248"/>
      <c r="C21" s="248" t="s">
        <v>335</v>
      </c>
      <c r="D21" s="248"/>
      <c r="E21" s="248"/>
      <c r="F21" s="248"/>
      <c r="G21" s="248"/>
      <c r="H21" s="248"/>
      <c r="I21" s="248"/>
      <c r="J21" s="426"/>
      <c r="K21" s="636">
        <f>SUM(J16:J20)</f>
        <v>0</v>
      </c>
      <c r="N21"/>
      <c r="O21"/>
      <c r="P21"/>
      <c r="Q21"/>
      <c r="R21"/>
      <c r="S21"/>
      <c r="T21"/>
    </row>
    <row r="22" spans="2:20" ht="21" customHeight="1">
      <c r="B22" s="248" t="s">
        <v>336</v>
      </c>
      <c r="C22" s="248"/>
      <c r="D22" s="248"/>
      <c r="E22" s="248"/>
      <c r="F22" s="248"/>
      <c r="G22" s="248"/>
      <c r="H22" s="248"/>
      <c r="I22" s="248"/>
      <c r="J22" s="804" t="s">
        <v>627</v>
      </c>
      <c r="K22" s="628"/>
      <c r="N22"/>
      <c r="O22"/>
      <c r="P22"/>
      <c r="Q22"/>
      <c r="R22"/>
      <c r="S22"/>
      <c r="T22"/>
    </row>
    <row r="23" spans="2:20" ht="21" customHeight="1">
      <c r="B23" s="248"/>
      <c r="C23" s="248" t="s">
        <v>337</v>
      </c>
      <c r="D23" s="248"/>
      <c r="E23" s="248"/>
      <c r="F23" s="248"/>
      <c r="G23" s="248"/>
      <c r="H23" s="248"/>
      <c r="I23" s="248"/>
      <c r="J23" s="804" t="s">
        <v>627</v>
      </c>
      <c r="K23" s="628"/>
      <c r="N23"/>
      <c r="O23"/>
      <c r="P23"/>
      <c r="Q23"/>
      <c r="R23"/>
      <c r="S23"/>
      <c r="T23"/>
    </row>
    <row r="24" spans="2:20" ht="21" customHeight="1">
      <c r="B24" s="248"/>
      <c r="C24" s="248"/>
      <c r="D24" s="248" t="s">
        <v>593</v>
      </c>
      <c r="E24" s="248"/>
      <c r="F24" s="248"/>
      <c r="G24" s="248"/>
      <c r="H24" s="248"/>
      <c r="I24" s="248"/>
      <c r="J24" s="629">
        <f>+'44-Utility4'!I36</f>
        <v>0</v>
      </c>
      <c r="K24" s="628"/>
      <c r="N24"/>
      <c r="O24"/>
      <c r="P24"/>
      <c r="Q24"/>
      <c r="R24"/>
      <c r="S24"/>
      <c r="T24"/>
    </row>
    <row r="25" spans="2:20" ht="21" customHeight="1">
      <c r="B25" s="248"/>
      <c r="C25" s="248"/>
      <c r="D25" s="248" t="s">
        <v>730</v>
      </c>
      <c r="E25" s="248"/>
      <c r="F25" s="248"/>
      <c r="G25" s="248"/>
      <c r="H25" s="248"/>
      <c r="I25" s="248"/>
      <c r="J25" s="629">
        <f>+'44-Utility4'!I37</f>
        <v>0</v>
      </c>
      <c r="K25" s="628"/>
      <c r="N25"/>
      <c r="O25"/>
      <c r="P25"/>
      <c r="Q25"/>
      <c r="R25"/>
      <c r="S25"/>
      <c r="T25"/>
    </row>
    <row r="26" spans="2:20" ht="21" customHeight="1">
      <c r="B26" s="248"/>
      <c r="C26" s="248" t="s">
        <v>338</v>
      </c>
      <c r="D26" s="248"/>
      <c r="E26" s="248"/>
      <c r="F26" s="248"/>
      <c r="G26" s="248"/>
      <c r="H26" s="248"/>
      <c r="I26" s="248"/>
      <c r="J26" s="426"/>
      <c r="K26" s="628"/>
      <c r="N26"/>
      <c r="O26"/>
      <c r="P26"/>
      <c r="Q26"/>
      <c r="R26"/>
      <c r="S26"/>
      <c r="T26"/>
    </row>
    <row r="27" spans="2:20" ht="21" customHeight="1">
      <c r="B27" s="248"/>
      <c r="C27" s="248" t="s">
        <v>339</v>
      </c>
      <c r="D27" s="248"/>
      <c r="E27" s="248"/>
      <c r="F27" s="248"/>
      <c r="G27" s="248"/>
      <c r="H27" s="248"/>
      <c r="I27" s="248"/>
      <c r="J27" s="426"/>
      <c r="K27" s="628"/>
      <c r="N27"/>
      <c r="O27"/>
      <c r="P27"/>
      <c r="Q27"/>
      <c r="R27"/>
      <c r="S27"/>
      <c r="T27"/>
    </row>
    <row r="28" spans="2:20" ht="21" customHeight="1" thickBot="1">
      <c r="B28" s="248"/>
      <c r="C28" s="495"/>
      <c r="D28" s="495"/>
      <c r="E28" s="495"/>
      <c r="F28" s="495"/>
      <c r="G28" s="495"/>
      <c r="H28" s="495"/>
      <c r="I28" s="495"/>
      <c r="J28" s="725"/>
      <c r="K28" s="628"/>
      <c r="N28"/>
      <c r="O28"/>
      <c r="P28"/>
      <c r="Q28"/>
      <c r="R28"/>
      <c r="S28"/>
      <c r="T28"/>
    </row>
    <row r="29" spans="2:20" ht="21" customHeight="1">
      <c r="B29" s="248"/>
      <c r="C29" s="248"/>
      <c r="D29" s="248"/>
      <c r="E29" s="248"/>
      <c r="F29" s="248" t="s">
        <v>731</v>
      </c>
      <c r="G29" s="248"/>
      <c r="H29" s="248"/>
      <c r="I29" s="248"/>
      <c r="J29" s="633">
        <f>SUM(J24:J28)</f>
        <v>0</v>
      </c>
      <c r="K29" s="628"/>
      <c r="N29"/>
      <c r="O29"/>
      <c r="P29"/>
      <c r="Q29"/>
      <c r="R29"/>
      <c r="S29"/>
      <c r="T29"/>
    </row>
    <row r="30" spans="2:20" ht="11.25" customHeight="1">
      <c r="F30" s="267" t="s">
        <v>755</v>
      </c>
      <c r="G30" s="267" t="s">
        <v>756</v>
      </c>
      <c r="J30" s="807"/>
      <c r="K30" s="628"/>
      <c r="N30"/>
      <c r="O30"/>
      <c r="P30"/>
      <c r="Q30"/>
      <c r="R30"/>
      <c r="S30"/>
      <c r="T30"/>
    </row>
    <row r="31" spans="2:20" ht="13.5" customHeight="1">
      <c r="B31" s="333"/>
      <c r="C31" s="333"/>
      <c r="D31" s="333"/>
      <c r="E31" s="333"/>
      <c r="F31" s="333"/>
      <c r="G31" s="333" t="s">
        <v>757</v>
      </c>
      <c r="H31" s="333"/>
      <c r="I31" s="808"/>
      <c r="J31" s="962"/>
      <c r="K31" s="805"/>
      <c r="N31"/>
      <c r="O31"/>
      <c r="P31"/>
      <c r="Q31"/>
      <c r="R31"/>
      <c r="S31"/>
      <c r="T31"/>
    </row>
    <row r="32" spans="2:20" ht="21" customHeight="1" thickBot="1">
      <c r="B32" s="810"/>
      <c r="C32" s="810"/>
      <c r="D32" s="810" t="s">
        <v>758</v>
      </c>
      <c r="E32" s="810"/>
      <c r="F32" s="810"/>
      <c r="G32" s="810"/>
      <c r="H32" s="810"/>
      <c r="I32" s="810"/>
      <c r="J32" s="811"/>
      <c r="K32" s="806">
        <f>+J29-J31</f>
        <v>0</v>
      </c>
    </row>
    <row r="33" spans="2:15" ht="21" customHeight="1" thickTop="1" thickBot="1">
      <c r="B33" s="812" t="s">
        <v>759</v>
      </c>
      <c r="C33" s="812"/>
      <c r="D33" s="812"/>
      <c r="E33" s="812"/>
      <c r="F33" s="812"/>
      <c r="G33" s="812"/>
      <c r="H33" s="812"/>
      <c r="I33" s="812"/>
      <c r="J33" s="813"/>
      <c r="K33" s="814">
        <f>IF(M33&gt;0,M33,0)</f>
        <v>0</v>
      </c>
      <c r="M33" s="301">
        <f>+K21-K32</f>
        <v>0</v>
      </c>
      <c r="N33" s="550" t="s">
        <v>3371</v>
      </c>
    </row>
    <row r="34" spans="2:15" ht="21" customHeight="1">
      <c r="B34" s="248" t="s">
        <v>760</v>
      </c>
      <c r="C34" s="248"/>
      <c r="D34" s="248"/>
      <c r="E34" s="248"/>
      <c r="F34" s="248"/>
      <c r="G34" s="248"/>
      <c r="H34" s="248"/>
      <c r="I34" s="248"/>
      <c r="J34" s="426"/>
      <c r="K34" s="628"/>
    </row>
    <row r="35" spans="2:15" ht="11.25" customHeight="1">
      <c r="B35" s="1375" t="s">
        <v>761</v>
      </c>
      <c r="C35" s="1375"/>
      <c r="D35" s="1375"/>
      <c r="E35" s="267" t="str">
        <f>"Balance of Results of "&amp;IF('KEY INPUTS'!C42="State Fiscal Year","Fiscal Year "&amp;'KEY INPUTS'!D33&amp;"",'KEY INPUTS'!D34)&amp;" Operation"</f>
        <v>Balance of Results of 2024 Operation</v>
      </c>
      <c r="J35" s="807"/>
      <c r="K35" s="628"/>
    </row>
    <row r="36" spans="2:15" ht="12.75" customHeight="1" thickBot="1">
      <c r="B36" s="1376"/>
      <c r="C36" s="1376"/>
      <c r="D36" s="1376"/>
      <c r="E36" s="333" t="s">
        <v>3481</v>
      </c>
      <c r="F36" s="333"/>
      <c r="G36" s="333"/>
      <c r="H36" s="333"/>
      <c r="I36" s="333"/>
      <c r="J36" s="809">
        <f>+K33-J34</f>
        <v>0</v>
      </c>
      <c r="K36" s="628"/>
    </row>
    <row r="37" spans="2:15" ht="21" customHeight="1" thickBot="1">
      <c r="B37" s="819"/>
      <c r="C37" s="819"/>
      <c r="D37" s="819"/>
      <c r="E37" s="819"/>
      <c r="F37" s="819"/>
      <c r="G37" s="819"/>
      <c r="H37" s="819"/>
      <c r="I37" s="819"/>
      <c r="J37" s="820"/>
      <c r="K37" s="815"/>
    </row>
    <row r="38" spans="2:15" ht="21" customHeight="1" thickBot="1">
      <c r="B38" s="357" t="s">
        <v>762</v>
      </c>
      <c r="C38" s="357"/>
      <c r="D38" s="357"/>
      <c r="E38" s="357"/>
      <c r="F38" s="357"/>
      <c r="G38" s="357"/>
      <c r="H38" s="357"/>
      <c r="I38" s="357"/>
      <c r="J38" s="821"/>
      <c r="K38" s="816">
        <f>IF(+M33&gt;0,0,+M33*-1)</f>
        <v>0</v>
      </c>
    </row>
    <row r="39" spans="2:15" ht="21" customHeight="1">
      <c r="B39" s="248" t="s">
        <v>763</v>
      </c>
      <c r="C39" s="248"/>
      <c r="D39" s="248"/>
      <c r="E39" s="248"/>
      <c r="F39" s="248"/>
      <c r="G39" s="248"/>
      <c r="H39" s="248"/>
      <c r="I39" s="248"/>
      <c r="J39" s="821">
        <f>+'44-Utility4'!I21</f>
        <v>0</v>
      </c>
      <c r="K39" s="628"/>
    </row>
    <row r="40" spans="2:15">
      <c r="B40" s="1377" t="s">
        <v>761</v>
      </c>
      <c r="C40" s="1377"/>
      <c r="D40" s="1377"/>
      <c r="E40" s="267" t="str">
        <f>"Balance of Results of "&amp;IF('KEY INPUTS'!C42="State Fiscal Year","Fiscal Year "&amp;'KEY INPUTS'!D33&amp;"",'KEY INPUTS'!D34)&amp;" Operation"</f>
        <v>Balance of Results of 2024 Operation</v>
      </c>
      <c r="J40" s="807"/>
      <c r="K40" s="817"/>
    </row>
    <row r="41" spans="2:15" ht="13.8" thickBot="1">
      <c r="B41" s="1378"/>
      <c r="C41" s="1378"/>
      <c r="D41" s="1378"/>
      <c r="E41" s="318" t="s">
        <v>3157</v>
      </c>
      <c r="F41" s="318"/>
      <c r="G41" s="318"/>
      <c r="H41" s="318"/>
      <c r="I41" s="318"/>
      <c r="J41" s="822">
        <f>+K38-J39</f>
        <v>0</v>
      </c>
      <c r="K41" s="818"/>
      <c r="L41" s="573"/>
      <c r="O41" s="301"/>
    </row>
    <row r="42" spans="2:15" ht="13.8" thickTop="1">
      <c r="J42" s="355"/>
      <c r="K42" s="355"/>
    </row>
    <row r="43" spans="2:15" ht="17.399999999999999">
      <c r="B43" s="800" t="s">
        <v>764</v>
      </c>
      <c r="J43" s="628"/>
      <c r="K43" s="628"/>
    </row>
    <row r="44" spans="2:15">
      <c r="B44" s="267" t="str">
        <f>"The following Item of '"&amp;IF('KEY INPUTS'!C42="State Fiscal Year","Fiscal Year "&amp;'KEY INPUTS'!D33-1&amp;"",'KEY INPUTS'!D34-1)&amp;" Appropriation Reserves Canceled in "&amp;IF('KEY INPUTS'!C42="State Fiscal Year","Fiscal Year "&amp;'KEY INPUTS'!D33&amp;"",'KEY INPUTS'!D34)&amp;"' is Due to the Current"</f>
        <v>The following Item of '2023 Appropriation Reserves Canceled in 2024' is Due to the Current</v>
      </c>
      <c r="J44" s="628"/>
      <c r="K44" s="628"/>
    </row>
    <row r="45" spans="2:15">
      <c r="B45" s="267" t="str">
        <f>"fund TO THE EXTENT OF the amount received and Due from the General Budget of "&amp;IF('KEY INPUTS'!C42="State Fiscal Year","Fiscal Year "&amp;'KEY INPUTS'!D33-1&amp;"",'KEY INPUTS'!D34-1)&amp;" for an"</f>
        <v>fund TO THE EXTENT OF the amount received and Due from the General Budget of 2023 for an</v>
      </c>
      <c r="J45" s="628"/>
      <c r="K45" s="628"/>
    </row>
    <row r="46" spans="2:15">
      <c r="B46" s="267" t="str">
        <f>"Anticipated Deficit in the "&amp;PROPER('KEY INPUTS'!D57)&amp;" Utility for "&amp;IF('KEY INPUTS'!C42="State Fiscal Year","Fiscal Year "&amp;'KEY INPUTS'!D33-1&amp;"",'KEY INPUTS'!D34-1)&amp;""</f>
        <v>Anticipated Deficit in the  Utility for 2023</v>
      </c>
      <c r="J46" s="628"/>
      <c r="K46" s="628"/>
      <c r="O46"/>
    </row>
    <row r="47" spans="2:15">
      <c r="J47" s="628"/>
      <c r="K47" s="628"/>
      <c r="O47"/>
    </row>
    <row r="48" spans="2:15" ht="21" customHeight="1">
      <c r="B48" s="248" t="str">
        <f>IF('KEY INPUTS'!C42="State Fiscal Year","Fiscal Year "&amp;'KEY INPUTS'!D33-1&amp;"",'KEY INPUTS'!D34-1)&amp;" Appropriation Reserves Canceled in "&amp;IF('KEY INPUTS'!C42="State Fiscal Year","Fiscal Year "&amp;'KEY INPUTS'!D33&amp;"",'KEY INPUTS'!D34)&amp;""</f>
        <v>2023 Appropriation Reserves Canceled in 2024</v>
      </c>
      <c r="C48" s="248"/>
      <c r="D48" s="248"/>
      <c r="E48" s="248"/>
      <c r="F48" s="248"/>
      <c r="G48" s="248"/>
      <c r="H48" s="248"/>
      <c r="I48" s="248"/>
      <c r="J48" s="291"/>
      <c r="K48" s="628"/>
      <c r="O48"/>
    </row>
    <row r="49" spans="2:15" ht="24" customHeight="1">
      <c r="B49" s="248"/>
      <c r="C49" s="823" t="s">
        <v>755</v>
      </c>
      <c r="D49" s="248"/>
      <c r="E49" s="1373" t="str">
        <f>"Anticipated Deficit in "&amp;IF('KEY INPUTS'!C42="State Fiscal Year","Fiscal Year "&amp;'KEY INPUTS'!D33-1&amp;"",'KEY INPUTS'!D34-1)&amp;" Budget - Amount Received and Due from Current Fund - If none, enter 'None '"</f>
        <v>Anticipated Deficit in 2023 Budget - Amount Received and Due from Current Fund - If none, enter 'None '</v>
      </c>
      <c r="F49" s="1373"/>
      <c r="G49" s="1373"/>
      <c r="H49" s="1373"/>
      <c r="I49" s="1374"/>
      <c r="J49" s="426"/>
      <c r="K49" s="628"/>
      <c r="O49"/>
    </row>
    <row r="50" spans="2:15" ht="21" customHeight="1">
      <c r="B50" s="248" t="s">
        <v>765</v>
      </c>
      <c r="C50" s="248"/>
      <c r="D50" s="248"/>
      <c r="E50" s="248"/>
      <c r="F50" s="248"/>
      <c r="G50" s="248"/>
      <c r="H50" s="248"/>
      <c r="I50" s="248"/>
      <c r="J50" s="509"/>
      <c r="K50" s="636">
        <f>+MAX(0,J48-J49)</f>
        <v>0</v>
      </c>
    </row>
    <row r="52" spans="2:15">
      <c r="B52" s="267" t="s">
        <v>3156</v>
      </c>
    </row>
    <row r="57" spans="2:15" ht="13.8">
      <c r="B57" s="1353" t="s">
        <v>3155</v>
      </c>
      <c r="C57" s="1353"/>
      <c r="D57" s="1353"/>
      <c r="E57" s="1353"/>
      <c r="F57" s="1353"/>
      <c r="G57" s="1353"/>
      <c r="H57" s="1353"/>
      <c r="I57" s="1353"/>
      <c r="J57" s="1353"/>
      <c r="K57" s="1353"/>
    </row>
  </sheetData>
  <sheetProtection algorithmName="SHA-512" hashValue="gmn4EXUs8ehJ5p1XA2kC28cCJpdrGB1Rr2/BU3DJdP26JDKDiGbidA9DpASeFsr+YxVpafnxhzkhK5tt/oBOiw==" saltValue="3vuPl0T0WEo/3HRYhlYfEw==" spinCount="100000"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4D176-39CC-4996-849B-CBE5A8AC7ED9}">
  <sheetPr codeName="Sheet231">
    <tabColor theme="2" tint="-0.249977111117893"/>
  </sheetPr>
  <dimension ref="B2:Z52"/>
  <sheetViews>
    <sheetView zoomScaleNormal="100" zoomScaleSheetLayoutView="80" workbookViewId="0">
      <selection activeCell="B7" sqref="B7"/>
    </sheetView>
  </sheetViews>
  <sheetFormatPr defaultColWidth="8.88671875" defaultRowHeight="13.2"/>
  <cols>
    <col min="1" max="5" width="4.6640625" style="267" customWidth="1"/>
    <col min="6" max="8" width="8.88671875" style="267"/>
    <col min="9" max="9" width="6.33203125" style="267" customWidth="1"/>
    <col min="10" max="10" width="8.88671875" style="267"/>
    <col min="11" max="12" width="16.6640625" style="267" customWidth="1"/>
    <col min="13" max="13" width="13.5546875" style="267" bestFit="1" customWidth="1"/>
    <col min="14" max="14" width="11.88671875" style="267" bestFit="1" customWidth="1"/>
    <col min="15" max="16384" width="8.88671875" style="267"/>
  </cols>
  <sheetData>
    <row r="2" spans="2:26" ht="20.399999999999999">
      <c r="B2" s="1363" t="str">
        <f>"RESULTS  OF  "&amp;IF('KEY INPUTS'!C42="State Fiscal Year","FY  "&amp;'KEY INPUTS'!D33&amp;"",'KEY INPUTS'!D34)&amp;"  OPERATIONS  - "&amp;UPPER('KEY INPUTS'!D57)&amp;" UTILITY"</f>
        <v>RESULTS  OF  2024  OPERATIONS  -  UTILITY</v>
      </c>
      <c r="C2" s="1363"/>
      <c r="D2" s="1363"/>
      <c r="E2" s="1363"/>
      <c r="F2" s="1363"/>
      <c r="G2" s="1363"/>
      <c r="H2" s="1363"/>
      <c r="I2" s="1363"/>
      <c r="J2" s="1363"/>
      <c r="K2" s="1363"/>
      <c r="L2" s="1363"/>
    </row>
    <row r="3" spans="2:26" ht="13.8" thickBot="1"/>
    <row r="4" spans="2:26" ht="21" customHeight="1" thickTop="1" thickBot="1">
      <c r="B4" s="364"/>
      <c r="C4" s="364"/>
      <c r="D4" s="364"/>
      <c r="E4" s="364"/>
      <c r="F4" s="364"/>
      <c r="G4" s="364"/>
      <c r="H4" s="364"/>
      <c r="I4" s="364"/>
      <c r="J4" s="364"/>
      <c r="K4" s="304" t="s">
        <v>96</v>
      </c>
      <c r="L4" s="308" t="s">
        <v>97</v>
      </c>
    </row>
    <row r="5" spans="2:26" ht="21" customHeight="1" thickTop="1">
      <c r="B5" s="831" t="s">
        <v>209</v>
      </c>
      <c r="C5" s="313"/>
      <c r="D5" s="313"/>
      <c r="E5" s="313"/>
      <c r="F5" s="313"/>
      <c r="G5" s="313"/>
      <c r="H5" s="313"/>
      <c r="I5" s="313"/>
      <c r="J5" s="313"/>
      <c r="K5" s="826" t="s">
        <v>627</v>
      </c>
      <c r="L5" s="827">
        <f>IF(+'44-Utility4'!J22&gt;0,+'44-Utility4'!J22,0)</f>
        <v>0</v>
      </c>
      <c r="N5"/>
      <c r="O5"/>
      <c r="P5"/>
      <c r="Q5"/>
      <c r="R5"/>
      <c r="S5"/>
      <c r="T5"/>
    </row>
    <row r="6" spans="2:26" ht="21" customHeight="1">
      <c r="B6" s="802" t="s">
        <v>3601</v>
      </c>
      <c r="C6" s="248"/>
      <c r="D6" s="248"/>
      <c r="E6" s="248"/>
      <c r="F6" s="248"/>
      <c r="G6" s="248"/>
      <c r="H6" s="248"/>
      <c r="I6" s="248"/>
      <c r="J6" s="248"/>
      <c r="K6" s="828" t="s">
        <v>627</v>
      </c>
      <c r="L6" s="780">
        <f>+'44-Utility4'!J40</f>
        <v>0</v>
      </c>
      <c r="M6" s="573"/>
      <c r="N6"/>
      <c r="O6"/>
      <c r="P6"/>
      <c r="Q6"/>
      <c r="R6"/>
      <c r="S6"/>
      <c r="T6"/>
    </row>
    <row r="7" spans="2:26" ht="21" customHeight="1">
      <c r="B7" s="538" t="s">
        <v>210</v>
      </c>
      <c r="C7" s="248"/>
      <c r="D7" s="248"/>
      <c r="E7" s="248"/>
      <c r="F7" s="248"/>
      <c r="G7" s="248"/>
      <c r="H7" s="248"/>
      <c r="I7" s="248"/>
      <c r="J7" s="248"/>
      <c r="K7" s="828" t="s">
        <v>627</v>
      </c>
      <c r="L7" s="780">
        <f>'45-Utility4'!J17</f>
        <v>0</v>
      </c>
      <c r="N7" s="294"/>
      <c r="O7"/>
      <c r="P7"/>
      <c r="Q7"/>
      <c r="R7"/>
      <c r="S7"/>
      <c r="T7"/>
    </row>
    <row r="8" spans="2:26" ht="21" customHeight="1">
      <c r="B8" s="267" t="str">
        <f>"Unexpended Balances of "&amp;IF('KEY INPUTS'!C42="State Fiscal Year","FY "&amp;'KEY INPUTS'!D33-1&amp;"",'KEY INPUTS'!D34-1)&amp;" Appropriation Reserves*"</f>
        <v>Unexpended Balances of 2023 Appropriation Reserves*</v>
      </c>
      <c r="C8" s="248"/>
      <c r="D8" s="248"/>
      <c r="E8" s="248"/>
      <c r="F8" s="248"/>
      <c r="G8" s="248"/>
      <c r="H8" s="248"/>
      <c r="I8" s="248"/>
      <c r="J8" s="248"/>
      <c r="K8" s="828" t="s">
        <v>627</v>
      </c>
      <c r="L8" s="780">
        <f>+'45-Utility4'!K50</f>
        <v>0</v>
      </c>
      <c r="N8"/>
      <c r="O8"/>
      <c r="P8"/>
      <c r="Q8"/>
      <c r="R8"/>
      <c r="S8"/>
      <c r="T8"/>
    </row>
    <row r="9" spans="2:26" ht="21" customHeight="1">
      <c r="B9" s="544"/>
      <c r="C9" s="495"/>
      <c r="D9" s="495"/>
      <c r="E9" s="495"/>
      <c r="F9" s="495"/>
      <c r="G9" s="495"/>
      <c r="H9" s="495"/>
      <c r="I9" s="248"/>
      <c r="J9" s="248"/>
      <c r="K9" s="504"/>
      <c r="L9" s="457"/>
      <c r="N9"/>
      <c r="O9"/>
      <c r="P9"/>
      <c r="Q9"/>
      <c r="R9"/>
      <c r="S9"/>
      <c r="T9"/>
    </row>
    <row r="10" spans="2:26" ht="21" customHeight="1">
      <c r="B10" s="267" t="s">
        <v>3162</v>
      </c>
      <c r="K10" s="533">
        <f>IF(+'44-Utility4'!J22&lt;0,-'44-Utility4'!J22,0)</f>
        <v>0</v>
      </c>
      <c r="L10" s="829" t="s">
        <v>627</v>
      </c>
      <c r="M10" s="301">
        <f>+L9+L8+L7+L6+L5-K11-K10-K9</f>
        <v>0</v>
      </c>
      <c r="N10" s="550" t="s">
        <v>3210</v>
      </c>
      <c r="O10"/>
      <c r="P10"/>
      <c r="Q10"/>
      <c r="R10"/>
      <c r="S10"/>
      <c r="T10"/>
      <c r="V10" s="366">
        <f>-'44-Utility4'!U22</f>
        <v>0</v>
      </c>
    </row>
    <row r="11" spans="2:26" ht="21" customHeight="1">
      <c r="B11" s="544"/>
      <c r="C11" s="824"/>
      <c r="D11" s="495"/>
      <c r="E11" s="495"/>
      <c r="F11" s="495"/>
      <c r="G11" s="495"/>
      <c r="H11" s="495"/>
      <c r="I11" s="248"/>
      <c r="J11" s="248"/>
      <c r="K11" s="450"/>
      <c r="L11" s="829" t="s">
        <v>627</v>
      </c>
      <c r="N11"/>
      <c r="O11"/>
      <c r="P11"/>
      <c r="Q11"/>
      <c r="R11"/>
      <c r="S11"/>
      <c r="T11"/>
      <c r="U11"/>
      <c r="V11"/>
      <c r="W11"/>
      <c r="X11"/>
      <c r="Y11"/>
      <c r="Z11"/>
    </row>
    <row r="12" spans="2:26" ht="21" customHeight="1">
      <c r="B12" s="538" t="s">
        <v>211</v>
      </c>
      <c r="C12" s="802"/>
      <c r="D12" s="248"/>
      <c r="E12" s="248"/>
      <c r="F12" s="248"/>
      <c r="G12" s="248"/>
      <c r="H12" s="248"/>
      <c r="I12" s="248"/>
      <c r="J12" s="248"/>
      <c r="K12" s="828" t="s">
        <v>627</v>
      </c>
      <c r="L12" s="365">
        <f>IF(M10&gt;0,0,M10*-1)</f>
        <v>0</v>
      </c>
      <c r="N12"/>
      <c r="O12"/>
      <c r="P12"/>
      <c r="Q12"/>
      <c r="R12"/>
      <c r="S12"/>
      <c r="T12"/>
      <c r="U12"/>
      <c r="V12"/>
      <c r="W12"/>
      <c r="X12"/>
      <c r="Y12"/>
      <c r="Z12"/>
    </row>
    <row r="13" spans="2:26" ht="21" customHeight="1" thickBot="1">
      <c r="B13" s="538" t="s">
        <v>212</v>
      </c>
      <c r="C13" s="802"/>
      <c r="D13" s="248"/>
      <c r="E13" s="248"/>
      <c r="F13" s="248"/>
      <c r="G13" s="248"/>
      <c r="H13" s="248"/>
      <c r="I13" s="248"/>
      <c r="J13" s="248"/>
      <c r="K13" s="533">
        <f>IF(M10&gt;0,M10,0)</f>
        <v>0</v>
      </c>
      <c r="L13" s="830" t="s">
        <v>627</v>
      </c>
      <c r="M13" s="301"/>
      <c r="N13"/>
      <c r="O13"/>
      <c r="P13"/>
      <c r="Q13"/>
      <c r="R13"/>
      <c r="S13"/>
      <c r="T13"/>
      <c r="U13"/>
      <c r="V13" s="365">
        <f>U11</f>
        <v>0</v>
      </c>
      <c r="W13"/>
      <c r="X13"/>
      <c r="Y13"/>
      <c r="Z13"/>
    </row>
    <row r="14" spans="2:26" ht="21" customHeight="1" thickBot="1">
      <c r="B14" s="309" t="s">
        <v>3161</v>
      </c>
      <c r="K14" s="785">
        <f>SUM(K5:K13)</f>
        <v>0</v>
      </c>
      <c r="L14" s="786">
        <f>SUM(L5:L13)</f>
        <v>0</v>
      </c>
      <c r="M14" s="301">
        <f>L14-K14</f>
        <v>0</v>
      </c>
      <c r="N14"/>
      <c r="O14"/>
      <c r="P14"/>
      <c r="Q14"/>
      <c r="R14"/>
      <c r="S14"/>
      <c r="T14"/>
      <c r="U14"/>
      <c r="V14"/>
      <c r="W14"/>
      <c r="X14"/>
      <c r="Y14"/>
      <c r="Z14"/>
    </row>
    <row r="15" spans="2:26" ht="18.75" customHeight="1" thickTop="1">
      <c r="N15"/>
      <c r="O15"/>
      <c r="P15"/>
      <c r="Q15"/>
      <c r="R15"/>
      <c r="S15"/>
      <c r="T15"/>
    </row>
    <row r="16" spans="2:26" ht="18.75" customHeight="1">
      <c r="K16" s="301"/>
      <c r="N16"/>
      <c r="O16"/>
      <c r="P16"/>
      <c r="Q16"/>
      <c r="R16"/>
      <c r="S16"/>
      <c r="T16"/>
    </row>
    <row r="17" spans="2:20" ht="22.8">
      <c r="B17" s="1358" t="str">
        <f>"OPERATING  SURPLUS  - "&amp;UPPER('KEY INPUTS'!D57)&amp;" UTILITY"</f>
        <v>OPERATING  SURPLUS  -  UTILITY</v>
      </c>
      <c r="C17" s="1358"/>
      <c r="D17" s="1358"/>
      <c r="E17" s="1358"/>
      <c r="F17" s="1358"/>
      <c r="G17" s="1358"/>
      <c r="H17" s="1358"/>
      <c r="I17" s="1358"/>
      <c r="J17" s="1358"/>
      <c r="K17" s="1358"/>
      <c r="L17" s="1358"/>
      <c r="N17"/>
      <c r="O17"/>
      <c r="P17"/>
      <c r="Q17"/>
      <c r="R17"/>
      <c r="S17"/>
      <c r="T17"/>
    </row>
    <row r="18" spans="2:20" ht="6.75" customHeight="1" thickBot="1">
      <c r="N18"/>
      <c r="O18"/>
      <c r="P18"/>
      <c r="Q18"/>
      <c r="R18"/>
      <c r="S18"/>
      <c r="T18"/>
    </row>
    <row r="19" spans="2:20" ht="25.5" customHeight="1" thickTop="1" thickBot="1">
      <c r="B19" s="364"/>
      <c r="C19" s="364"/>
      <c r="D19" s="364"/>
      <c r="E19" s="364"/>
      <c r="F19" s="364"/>
      <c r="G19" s="364"/>
      <c r="H19" s="364"/>
      <c r="I19" s="364"/>
      <c r="J19" s="364"/>
      <c r="K19" s="304" t="s">
        <v>96</v>
      </c>
      <c r="L19" s="308" t="s">
        <v>97</v>
      </c>
      <c r="N19"/>
      <c r="O19"/>
      <c r="P19"/>
      <c r="Q19"/>
      <c r="R19"/>
      <c r="S19"/>
      <c r="T19"/>
    </row>
    <row r="20" spans="2:20" ht="21" customHeight="1" thickTop="1">
      <c r="B20" s="363" t="str">
        <f>IF('KEY INPUTS'!C42 = "State Fiscal Year", 'KEY INPUTS'!F25,'KEY INPUTS'!D25)</f>
        <v>Balance - January 1, 2024</v>
      </c>
      <c r="C20" s="313"/>
      <c r="D20" s="313"/>
      <c r="E20" s="313"/>
      <c r="F20" s="313"/>
      <c r="G20" s="313"/>
      <c r="H20" s="313"/>
      <c r="I20" s="313"/>
      <c r="J20" s="313"/>
      <c r="K20" s="903" t="s">
        <v>627</v>
      </c>
      <c r="L20" s="486"/>
      <c r="N20"/>
      <c r="O20"/>
      <c r="P20"/>
      <c r="Q20"/>
      <c r="R20"/>
      <c r="S20"/>
      <c r="T20"/>
    </row>
    <row r="21" spans="2:20" ht="21" customHeight="1">
      <c r="B21" s="524"/>
      <c r="C21" s="495"/>
      <c r="D21" s="495"/>
      <c r="E21" s="495"/>
      <c r="F21" s="495"/>
      <c r="G21" s="495"/>
      <c r="H21" s="495"/>
      <c r="I21" s="495"/>
      <c r="J21" s="495"/>
      <c r="K21" s="773"/>
      <c r="L21" s="457"/>
      <c r="N21"/>
      <c r="O21"/>
      <c r="P21"/>
      <c r="Q21"/>
      <c r="R21"/>
      <c r="S21"/>
      <c r="T21"/>
    </row>
    <row r="22" spans="2:20" ht="21" customHeight="1">
      <c r="B22" s="248" t="str">
        <f>"Excess in Results of "&amp;IF('KEY INPUTS'!C42="State Fiscal Year","Fiscal Year "&amp;'KEY INPUTS'!D33&amp;"",'KEY INPUTS'!D34)&amp;" Operations"</f>
        <v>Excess in Results of 2024 Operations</v>
      </c>
      <c r="C22" s="248"/>
      <c r="D22" s="248"/>
      <c r="E22" s="248"/>
      <c r="F22" s="248"/>
      <c r="G22" s="248"/>
      <c r="H22" s="248"/>
      <c r="I22" s="248"/>
      <c r="J22" s="248"/>
      <c r="K22" s="904" t="s">
        <v>627</v>
      </c>
      <c r="L22" s="780">
        <f>+K13</f>
        <v>0</v>
      </c>
    </row>
    <row r="23" spans="2:20" ht="21" customHeight="1">
      <c r="B23" s="248" t="str">
        <f>"Amount Appropriated in the "&amp;IF('KEY INPUTS'!C42="State Fiscal Year","FY "&amp;'KEY INPUTS'!D33&amp;"",'KEY INPUTS'!D34)&amp;" Budget - Cash"</f>
        <v>Amount Appropriated in the 2024 Budget - Cash</v>
      </c>
      <c r="C23" s="248"/>
      <c r="D23" s="248"/>
      <c r="E23" s="248"/>
      <c r="F23" s="248"/>
      <c r="G23" s="248"/>
      <c r="H23" s="248"/>
      <c r="I23" s="248"/>
      <c r="J23" s="248"/>
      <c r="K23" s="533">
        <f>'44-Utility4'!I7</f>
        <v>0</v>
      </c>
      <c r="L23" s="905" t="s">
        <v>627</v>
      </c>
    </row>
    <row r="24" spans="2:20">
      <c r="B24" s="267" t="str">
        <f>"Amount Appropriated in "&amp;IF('KEY INPUTS'!C42="State Fiscal Year","FY "&amp;'KEY INPUTS'!D33&amp;"",'KEY INPUTS'!D34)&amp;" Budget with Prior Written"</f>
        <v>Amount Appropriated in 2024 Budget with Prior Written</v>
      </c>
      <c r="K24" s="1382"/>
      <c r="L24" s="1470" t="s">
        <v>627</v>
      </c>
    </row>
    <row r="25" spans="2:20" ht="12.75" customHeight="1">
      <c r="B25" s="333" t="s">
        <v>841</v>
      </c>
      <c r="C25" s="333"/>
      <c r="D25" s="333"/>
      <c r="E25" s="333"/>
      <c r="F25" s="333"/>
      <c r="G25" s="333"/>
      <c r="H25" s="333"/>
      <c r="I25" s="333"/>
      <c r="J25" s="333"/>
      <c r="K25" s="1383"/>
      <c r="L25" s="1471"/>
    </row>
    <row r="26" spans="2:20" ht="21" customHeight="1">
      <c r="B26" s="524"/>
      <c r="C26" s="495"/>
      <c r="D26" s="495"/>
      <c r="E26" s="495"/>
      <c r="F26" s="495"/>
      <c r="G26" s="495"/>
      <c r="H26" s="495"/>
      <c r="I26" s="495"/>
      <c r="J26" s="495"/>
      <c r="K26" s="450"/>
      <c r="L26" s="825"/>
    </row>
    <row r="27" spans="2:20" ht="21" customHeight="1" thickBot="1">
      <c r="B27" s="248" t="str">
        <f>IF('KEY INPUTS'!C42 = "State Fiscal Year", 'KEY INPUTS'!F26,'KEY INPUTS'!D26)</f>
        <v>Balance - December 31, 2024</v>
      </c>
      <c r="C27" s="248"/>
      <c r="D27" s="248"/>
      <c r="E27" s="248"/>
      <c r="F27" s="248"/>
      <c r="G27" s="248"/>
      <c r="H27" s="248"/>
      <c r="I27" s="248"/>
      <c r="J27" s="248"/>
      <c r="K27" s="783">
        <f>+SUM(L20:L26)-SUM(K21:K26)</f>
        <v>0</v>
      </c>
      <c r="L27" s="906" t="s">
        <v>627</v>
      </c>
      <c r="N27" s="593" t="s">
        <v>3246</v>
      </c>
    </row>
    <row r="28" spans="2:20" ht="21" customHeight="1" thickBot="1">
      <c r="K28" s="785">
        <f>SUM(K21:K27)</f>
        <v>0</v>
      </c>
      <c r="L28" s="786">
        <f>SUM(L20:L27)</f>
        <v>0</v>
      </c>
    </row>
    <row r="29" spans="2:20" ht="13.8" thickTop="1"/>
    <row r="32" spans="2:20" ht="17.399999999999999">
      <c r="B32" s="1380" t="str">
        <f>"ANALYSIS  OF  BALANCE  "&amp;IF('KEY INPUTS'!C42="State Fiscal Year","JUNE  30,  "&amp;'KEY INPUTS'!D33&amp;"","DECEMBER 31, "&amp;'KEY INPUTS'!D34&amp;"")</f>
        <v>ANALYSIS  OF  BALANCE  DECEMBER 31, 2024</v>
      </c>
      <c r="C32" s="1380"/>
      <c r="D32" s="1380"/>
      <c r="E32" s="1380"/>
      <c r="F32" s="1380"/>
      <c r="G32" s="1380"/>
      <c r="H32" s="1380"/>
      <c r="I32" s="1380"/>
      <c r="J32" s="1380"/>
      <c r="K32" s="1380"/>
      <c r="L32" s="1380"/>
    </row>
    <row r="33" spans="2:14" ht="17.399999999999999">
      <c r="B33" s="1380" t="str">
        <f>"(FROM "&amp;UPPER('KEY INPUTS'!D57)&amp;" UTILITY  -  TRIAL  BALANCE)"</f>
        <v>(FROM  UTILITY  -  TRIAL  BALANCE)</v>
      </c>
      <c r="C33" s="1380"/>
      <c r="D33" s="1380"/>
      <c r="E33" s="1380"/>
      <c r="F33" s="1380"/>
      <c r="G33" s="1380"/>
      <c r="H33" s="1380"/>
      <c r="I33" s="1380"/>
      <c r="J33" s="1380"/>
      <c r="K33" s="1380"/>
      <c r="L33" s="1380"/>
    </row>
    <row r="34" spans="2:14" ht="13.8" thickBot="1"/>
    <row r="35" spans="2:14" ht="21" customHeight="1" thickTop="1">
      <c r="B35" s="313" t="s">
        <v>194</v>
      </c>
      <c r="C35" s="313"/>
      <c r="D35" s="313"/>
      <c r="E35" s="313"/>
      <c r="F35" s="313"/>
      <c r="G35" s="313"/>
      <c r="H35" s="313"/>
      <c r="I35" s="313"/>
      <c r="J35" s="313"/>
      <c r="K35" s="409"/>
      <c r="L35" s="833">
        <f>+'41-Utility4'!G13</f>
        <v>0</v>
      </c>
    </row>
    <row r="36" spans="2:14" ht="21" customHeight="1">
      <c r="B36" s="248" t="s">
        <v>315</v>
      </c>
      <c r="C36" s="248"/>
      <c r="D36" s="248"/>
      <c r="E36" s="248"/>
      <c r="F36" s="248"/>
      <c r="G36" s="248"/>
      <c r="H36" s="248"/>
      <c r="I36" s="248"/>
      <c r="J36" s="248"/>
      <c r="K36" s="407"/>
      <c r="L36" s="479"/>
    </row>
    <row r="37" spans="2:14" ht="21" customHeight="1" thickBot="1">
      <c r="B37" s="248" t="s">
        <v>663</v>
      </c>
      <c r="C37" s="248"/>
      <c r="D37" s="248"/>
      <c r="E37" s="248"/>
      <c r="F37" s="248"/>
      <c r="G37" s="248"/>
      <c r="H37" s="248"/>
      <c r="I37" s="248"/>
      <c r="J37" s="248"/>
      <c r="K37" s="407"/>
      <c r="L37" s="481"/>
    </row>
    <row r="38" spans="2:14" ht="21" customHeight="1" thickTop="1">
      <c r="B38" s="248"/>
      <c r="C38" s="248"/>
      <c r="D38" s="248" t="s">
        <v>317</v>
      </c>
      <c r="E38" s="248"/>
      <c r="F38" s="248"/>
      <c r="G38" s="248"/>
      <c r="H38" s="248"/>
      <c r="I38" s="248"/>
      <c r="J38" s="248"/>
      <c r="K38" s="407"/>
      <c r="L38" s="834">
        <f>SUM(L35:L37)</f>
        <v>0</v>
      </c>
    </row>
    <row r="39" spans="2:14" ht="21" customHeight="1" thickBot="1">
      <c r="B39" s="248" t="s">
        <v>362</v>
      </c>
      <c r="C39" s="248"/>
      <c r="D39" s="248"/>
      <c r="E39" s="248"/>
      <c r="F39" s="248"/>
      <c r="G39" s="248"/>
      <c r="H39" s="248"/>
      <c r="I39" s="248"/>
      <c r="J39" s="248"/>
      <c r="K39" s="407"/>
      <c r="L39" s="835">
        <f>+'41-Utility4'!H39</f>
        <v>0</v>
      </c>
    </row>
    <row r="40" spans="2:14" ht="21" customHeight="1" thickTop="1">
      <c r="B40" s="248"/>
      <c r="C40" s="248"/>
      <c r="D40" s="248" t="s">
        <v>207</v>
      </c>
      <c r="E40" s="248"/>
      <c r="F40" s="248"/>
      <c r="G40" s="248"/>
      <c r="H40" s="248"/>
      <c r="I40" s="248"/>
      <c r="J40" s="248"/>
      <c r="K40" s="407"/>
      <c r="L40" s="834">
        <f>+L38-L39</f>
        <v>0</v>
      </c>
    </row>
    <row r="41" spans="2:14" ht="21" customHeight="1">
      <c r="B41" s="248" t="s">
        <v>369</v>
      </c>
      <c r="C41" s="248"/>
      <c r="D41" s="248"/>
      <c r="E41" s="248"/>
      <c r="F41" s="248"/>
      <c r="G41" s="248"/>
      <c r="H41" s="248"/>
      <c r="I41" s="248"/>
      <c r="J41" s="248"/>
      <c r="K41" s="312"/>
      <c r="L41" s="777"/>
    </row>
    <row r="42" spans="2:14" ht="22.5" customHeight="1">
      <c r="B42" s="248"/>
      <c r="C42" s="1379" t="s">
        <v>365</v>
      </c>
      <c r="D42" s="1379"/>
      <c r="E42" s="1379"/>
      <c r="F42" s="1379"/>
      <c r="G42" s="1379"/>
      <c r="H42" s="838"/>
      <c r="I42" s="248"/>
      <c r="J42" s="248"/>
      <c r="K42" s="450"/>
      <c r="L42" s="777"/>
    </row>
    <row r="43" spans="2:14" ht="21" customHeight="1">
      <c r="B43" s="248"/>
      <c r="C43" s="248" t="s">
        <v>208</v>
      </c>
      <c r="D43" s="248"/>
      <c r="E43" s="248"/>
      <c r="F43" s="248"/>
      <c r="G43" s="248"/>
      <c r="H43" s="248"/>
      <c r="I43" s="248"/>
      <c r="J43" s="248"/>
      <c r="K43" s="450"/>
      <c r="L43" s="777"/>
      <c r="M43" s="301"/>
      <c r="N43" s="301"/>
    </row>
    <row r="44" spans="2:14" ht="21" customHeight="1" thickBot="1">
      <c r="B44" s="248"/>
      <c r="C44" s="248"/>
      <c r="D44" s="248" t="s">
        <v>367</v>
      </c>
      <c r="E44" s="248"/>
      <c r="F44" s="248"/>
      <c r="G44" s="248"/>
      <c r="H44" s="248"/>
      <c r="I44" s="248"/>
      <c r="J44" s="248"/>
      <c r="K44" s="837"/>
      <c r="L44" s="784">
        <f>SUM(K42:K43)</f>
        <v>0</v>
      </c>
    </row>
    <row r="45" spans="2:14" ht="21" customHeight="1" thickBot="1">
      <c r="B45" s="361" t="str">
        <f>"# MAY NOT BE ANTICIPATED AS NON-CASH SURPLUS IN "&amp;TEXT('KEY INPUTS'!D34,"0")&amp;" BUDGET."</f>
        <v># MAY NOT BE ANTICIPATED AS NON-CASH SURPLUS IN 2024 BUDGET.</v>
      </c>
      <c r="K45" s="360"/>
      <c r="L45" s="836">
        <f>+L40+L44</f>
        <v>0</v>
      </c>
      <c r="M45" s="301"/>
      <c r="N45" s="593" t="s">
        <v>3246</v>
      </c>
    </row>
    <row r="46" spans="2:14" ht="13.8" thickTop="1">
      <c r="B46" s="359" t="s">
        <v>213</v>
      </c>
      <c r="C46" s="359"/>
    </row>
    <row r="47" spans="2:14">
      <c r="B47" s="359"/>
      <c r="C47" s="359" t="s">
        <v>3160</v>
      </c>
    </row>
    <row r="52" spans="2:12" ht="13.8">
      <c r="B52" s="1353" t="s">
        <v>3159</v>
      </c>
      <c r="C52" s="1353"/>
      <c r="D52" s="1353"/>
      <c r="E52" s="1353"/>
      <c r="F52" s="1353"/>
      <c r="G52" s="1353"/>
      <c r="H52" s="1353"/>
      <c r="I52" s="1353"/>
      <c r="J52" s="1353"/>
      <c r="K52" s="1353"/>
      <c r="L52" s="1353"/>
    </row>
  </sheetData>
  <sheetProtection algorithmName="SHA-512" hashValue="eic4s97smwjuKMGCtSGQG3iLr+n8fZQqCT+XdoEMR+1t45Y9mX8S5UQ8EzaM9FB8HciwuhFKb06nY8Jn+9L19g==" saltValue="Noq7OhuYiJLsrRUtOrTJWQ==" spinCount="100000"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90778-7A25-4842-88B4-6DB545265AB9}">
  <sheetPr codeName="Sheet24"/>
  <dimension ref="B2:O52"/>
  <sheetViews>
    <sheetView zoomScaleNormal="100" workbookViewId="0">
      <selection activeCell="I22" sqref="I22"/>
    </sheetView>
  </sheetViews>
  <sheetFormatPr defaultColWidth="9.109375" defaultRowHeight="13.2"/>
  <cols>
    <col min="1" max="3" width="4.6640625" customWidth="1"/>
    <col min="5" max="5" width="11.88671875" customWidth="1"/>
    <col min="6" max="6" width="1.6640625" customWidth="1"/>
    <col min="7" max="7" width="14.6640625" customWidth="1"/>
    <col min="8" max="8" width="1.6640625" customWidth="1"/>
    <col min="9" max="9" width="14.6640625" customWidth="1"/>
    <col min="10" max="10" width="1.6640625" customWidth="1"/>
    <col min="11" max="11" width="14.6640625" customWidth="1"/>
    <col min="12" max="12" width="1.6640625" customWidth="1"/>
    <col min="13" max="13" width="14.6640625" customWidth="1"/>
    <col min="14" max="14" width="10.88671875" bestFit="1" customWidth="1"/>
    <col min="15" max="15" width="13.5546875" bestFit="1" customWidth="1"/>
  </cols>
  <sheetData>
    <row r="2" spans="2:15" ht="20.399999999999999">
      <c r="B2" s="1131" t="s">
        <v>3349</v>
      </c>
      <c r="C2" s="1131"/>
      <c r="D2" s="1131"/>
      <c r="E2" s="1131"/>
      <c r="F2" s="1131"/>
      <c r="G2" s="1131"/>
      <c r="H2" s="1131"/>
      <c r="I2" s="1131"/>
      <c r="J2" s="1131"/>
      <c r="K2" s="1131"/>
      <c r="L2" s="1131"/>
      <c r="M2" s="1131"/>
    </row>
    <row r="3" spans="2:15">
      <c r="B3" s="1158"/>
      <c r="C3" s="1158"/>
      <c r="D3" s="1158"/>
      <c r="E3" s="1158"/>
      <c r="F3" s="1158"/>
      <c r="G3" s="1158"/>
      <c r="H3" s="1158"/>
      <c r="I3" s="1158"/>
      <c r="J3" s="1158"/>
      <c r="K3" s="1158"/>
      <c r="L3" s="1158"/>
      <c r="M3" s="1158"/>
    </row>
    <row r="5" spans="2:15">
      <c r="B5" s="1190"/>
      <c r="C5" s="1190"/>
      <c r="D5" s="1190"/>
      <c r="G5" s="1" t="s">
        <v>414</v>
      </c>
      <c r="I5" s="124"/>
      <c r="K5" s="124"/>
    </row>
    <row r="6" spans="2:15">
      <c r="B6" s="1190"/>
      <c r="C6" s="1190"/>
      <c r="D6" s="1190"/>
      <c r="G6" s="243" t="str">
        <f>'6b.2-Trust Fund Reserves'!G6</f>
        <v>Dec. 31, 2023</v>
      </c>
      <c r="I6" s="1"/>
      <c r="K6" s="1"/>
      <c r="M6" s="1" t="s">
        <v>529</v>
      </c>
    </row>
    <row r="7" spans="2:15">
      <c r="G7" s="1" t="s">
        <v>433</v>
      </c>
      <c r="I7" s="1"/>
      <c r="K7" s="1"/>
      <c r="M7" s="1" t="s">
        <v>437</v>
      </c>
    </row>
    <row r="8" spans="2:15">
      <c r="B8" s="1190" t="s">
        <v>413</v>
      </c>
      <c r="C8" s="1190"/>
      <c r="D8" s="1190"/>
      <c r="G8" s="124" t="s">
        <v>432</v>
      </c>
      <c r="I8" s="124" t="s">
        <v>427</v>
      </c>
      <c r="K8" s="124" t="s">
        <v>535</v>
      </c>
      <c r="M8" s="241" t="str">
        <f>'6b.2-Trust Fund Reserves'!M8</f>
        <v>Dec. 31, 2024</v>
      </c>
    </row>
    <row r="9" spans="2:15">
      <c r="B9" s="124"/>
      <c r="C9" s="124"/>
      <c r="D9" s="124"/>
      <c r="G9" s="124"/>
      <c r="I9" s="124"/>
      <c r="K9" s="124"/>
      <c r="M9" s="124"/>
    </row>
    <row r="10" spans="2:15" ht="21" customHeight="1">
      <c r="B10" s="590" t="s">
        <v>3256</v>
      </c>
      <c r="C10" s="30"/>
      <c r="D10" s="30"/>
      <c r="E10" s="30"/>
      <c r="G10" s="638">
        <f>+'6b.2-Trust Fund Reserves'!G48</f>
        <v>245057.19999999998</v>
      </c>
      <c r="I10" s="638">
        <f>+'6b.2-Trust Fund Reserves'!I48</f>
        <v>933468.92</v>
      </c>
      <c r="K10" s="638">
        <f>+'6b.2-Trust Fund Reserves'!K48</f>
        <v>849468.8</v>
      </c>
      <c r="M10" s="638">
        <f>+'6b.2-Trust Fund Reserves'!M48</f>
        <v>329057.32</v>
      </c>
      <c r="N10" s="204"/>
      <c r="O10" s="204"/>
    </row>
    <row r="11" spans="2:15" ht="21" customHeight="1">
      <c r="B11" s="292"/>
      <c r="C11" s="292"/>
      <c r="D11" s="292"/>
      <c r="E11" s="292"/>
      <c r="G11" s="293"/>
      <c r="I11" s="293"/>
      <c r="K11" s="293"/>
      <c r="L11" s="295"/>
      <c r="M11" s="637">
        <f t="shared" ref="M11:M47" si="0">+G11+I11-K11</f>
        <v>0</v>
      </c>
      <c r="N11" s="204"/>
    </row>
    <row r="12" spans="2:15" ht="21" customHeight="1">
      <c r="B12" s="292"/>
      <c r="C12" s="292"/>
      <c r="D12" s="292"/>
      <c r="E12" s="292"/>
      <c r="G12" s="293"/>
      <c r="I12" s="293"/>
      <c r="K12" s="293"/>
      <c r="L12" s="295"/>
      <c r="M12" s="637">
        <f t="shared" si="0"/>
        <v>0</v>
      </c>
      <c r="N12" s="204"/>
    </row>
    <row r="13" spans="2:15" ht="21" customHeight="1">
      <c r="B13" s="292"/>
      <c r="C13" s="292"/>
      <c r="D13" s="292"/>
      <c r="E13" s="292"/>
      <c r="G13" s="293"/>
      <c r="I13" s="511"/>
      <c r="K13" s="293"/>
      <c r="L13" s="295"/>
      <c r="M13" s="637">
        <f t="shared" si="0"/>
        <v>0</v>
      </c>
      <c r="N13" s="204"/>
      <c r="O13" s="294"/>
    </row>
    <row r="14" spans="2:15" ht="21" customHeight="1">
      <c r="B14" s="512"/>
      <c r="C14" s="292"/>
      <c r="D14" s="292"/>
      <c r="E14" s="292"/>
      <c r="G14" s="293"/>
      <c r="I14" s="293"/>
      <c r="K14" s="293"/>
      <c r="L14" s="295"/>
      <c r="M14" s="637">
        <f t="shared" si="0"/>
        <v>0</v>
      </c>
      <c r="N14" s="204"/>
    </row>
    <row r="15" spans="2:15" ht="21" customHeight="1">
      <c r="B15" s="292"/>
      <c r="C15" s="292"/>
      <c r="D15" s="292"/>
      <c r="E15" s="292"/>
      <c r="G15" s="293"/>
      <c r="I15" s="293"/>
      <c r="K15" s="293"/>
      <c r="L15" s="295"/>
      <c r="M15" s="637">
        <f t="shared" si="0"/>
        <v>0</v>
      </c>
      <c r="N15" s="204"/>
    </row>
    <row r="16" spans="2:15" ht="21" customHeight="1">
      <c r="B16" s="292"/>
      <c r="C16" s="292"/>
      <c r="D16" s="292"/>
      <c r="E16" s="292"/>
      <c r="G16" s="293"/>
      <c r="I16" s="293"/>
      <c r="K16" s="293"/>
      <c r="L16" s="295"/>
      <c r="M16" s="637">
        <f t="shared" si="0"/>
        <v>0</v>
      </c>
      <c r="N16" s="204"/>
    </row>
    <row r="17" spans="2:14" ht="21" customHeight="1">
      <c r="B17" s="292"/>
      <c r="C17" s="292"/>
      <c r="D17" s="292"/>
      <c r="E17" s="292"/>
      <c r="G17" s="293"/>
      <c r="I17" s="293"/>
      <c r="K17" s="293"/>
      <c r="L17" s="295"/>
      <c r="M17" s="637">
        <f t="shared" si="0"/>
        <v>0</v>
      </c>
      <c r="N17" s="204"/>
    </row>
    <row r="18" spans="2:14" ht="21" customHeight="1">
      <c r="B18" s="292"/>
      <c r="C18" s="292"/>
      <c r="D18" s="292"/>
      <c r="E18" s="292"/>
      <c r="G18" s="293"/>
      <c r="I18" s="293"/>
      <c r="K18" s="293"/>
      <c r="L18" s="295"/>
      <c r="M18" s="637">
        <f t="shared" si="0"/>
        <v>0</v>
      </c>
      <c r="N18" s="204"/>
    </row>
    <row r="19" spans="2:14" ht="21" customHeight="1">
      <c r="B19" s="512"/>
      <c r="C19" s="292"/>
      <c r="D19" s="292"/>
      <c r="E19" s="292"/>
      <c r="G19" s="293"/>
      <c r="I19" s="293"/>
      <c r="K19" s="293"/>
      <c r="L19" s="295"/>
      <c r="M19" s="637">
        <f t="shared" si="0"/>
        <v>0</v>
      </c>
      <c r="N19" s="204"/>
    </row>
    <row r="20" spans="2:14" ht="21" customHeight="1">
      <c r="B20" s="512"/>
      <c r="C20" s="292"/>
      <c r="D20" s="292"/>
      <c r="E20" s="292"/>
      <c r="G20" s="293"/>
      <c r="I20" s="293"/>
      <c r="K20" s="293"/>
      <c r="L20" s="295"/>
      <c r="M20" s="637">
        <f t="shared" si="0"/>
        <v>0</v>
      </c>
      <c r="N20" s="204"/>
    </row>
    <row r="21" spans="2:14" ht="21" customHeight="1">
      <c r="B21" s="512"/>
      <c r="C21" s="292"/>
      <c r="D21" s="292"/>
      <c r="E21" s="292"/>
      <c r="G21" s="293"/>
      <c r="I21" s="293"/>
      <c r="K21" s="293"/>
      <c r="L21" s="295"/>
      <c r="M21" s="637">
        <f t="shared" si="0"/>
        <v>0</v>
      </c>
      <c r="N21" s="204"/>
    </row>
    <row r="22" spans="2:14" ht="21" customHeight="1">
      <c r="B22" s="512"/>
      <c r="C22" s="292"/>
      <c r="D22" s="292"/>
      <c r="E22" s="292"/>
      <c r="G22" s="293"/>
      <c r="I22" s="293"/>
      <c r="K22" s="293"/>
      <c r="L22" s="295"/>
      <c r="M22" s="637">
        <f t="shared" si="0"/>
        <v>0</v>
      </c>
      <c r="N22" s="204"/>
    </row>
    <row r="23" spans="2:14" ht="21" customHeight="1">
      <c r="B23" s="512"/>
      <c r="C23" s="292"/>
      <c r="D23" s="292"/>
      <c r="E23" s="292"/>
      <c r="G23" s="293"/>
      <c r="I23" s="293"/>
      <c r="K23" s="293"/>
      <c r="L23" s="295"/>
      <c r="M23" s="637">
        <f t="shared" si="0"/>
        <v>0</v>
      </c>
      <c r="N23" s="204"/>
    </row>
    <row r="24" spans="2:14" ht="21" customHeight="1">
      <c r="B24" s="512"/>
      <c r="C24" s="292"/>
      <c r="D24" s="292"/>
      <c r="E24" s="292"/>
      <c r="G24" s="293"/>
      <c r="I24" s="293"/>
      <c r="K24" s="293"/>
      <c r="L24" s="295"/>
      <c r="M24" s="637">
        <f t="shared" si="0"/>
        <v>0</v>
      </c>
      <c r="N24" s="204"/>
    </row>
    <row r="25" spans="2:14" ht="21" customHeight="1">
      <c r="B25" s="292"/>
      <c r="C25" s="292"/>
      <c r="D25" s="292"/>
      <c r="E25" s="292"/>
      <c r="G25" s="293"/>
      <c r="I25" s="293"/>
      <c r="K25" s="293"/>
      <c r="L25" s="295"/>
      <c r="M25" s="637">
        <f t="shared" si="0"/>
        <v>0</v>
      </c>
      <c r="N25" s="204"/>
    </row>
    <row r="26" spans="2:14" ht="21" customHeight="1">
      <c r="B26" s="292"/>
      <c r="C26" s="292"/>
      <c r="D26" s="292"/>
      <c r="E26" s="292"/>
      <c r="G26" s="293"/>
      <c r="I26" s="293"/>
      <c r="K26" s="293"/>
      <c r="L26" s="295"/>
      <c r="M26" s="637">
        <f t="shared" si="0"/>
        <v>0</v>
      </c>
    </row>
    <row r="27" spans="2:14" ht="21" customHeight="1">
      <c r="B27" s="292"/>
      <c r="C27" s="292"/>
      <c r="D27" s="292"/>
      <c r="E27" s="292"/>
      <c r="G27" s="293"/>
      <c r="I27" s="293"/>
      <c r="K27" s="293"/>
      <c r="L27" s="295"/>
      <c r="M27" s="637">
        <f t="shared" si="0"/>
        <v>0</v>
      </c>
    </row>
    <row r="28" spans="2:14" ht="21" customHeight="1">
      <c r="B28" s="292"/>
      <c r="C28" s="292"/>
      <c r="D28" s="292"/>
      <c r="E28" s="292"/>
      <c r="G28" s="293"/>
      <c r="I28" s="293"/>
      <c r="K28" s="293"/>
      <c r="L28" s="295"/>
      <c r="M28" s="637">
        <f t="shared" si="0"/>
        <v>0</v>
      </c>
    </row>
    <row r="29" spans="2:14" ht="21" customHeight="1">
      <c r="B29" s="292"/>
      <c r="C29" s="292"/>
      <c r="D29" s="292"/>
      <c r="E29" s="292"/>
      <c r="G29" s="293"/>
      <c r="I29" s="293"/>
      <c r="K29" s="293"/>
      <c r="L29" s="295"/>
      <c r="M29" s="637">
        <f t="shared" si="0"/>
        <v>0</v>
      </c>
    </row>
    <row r="30" spans="2:14" ht="21" customHeight="1">
      <c r="B30" s="292"/>
      <c r="C30" s="292"/>
      <c r="D30" s="292"/>
      <c r="E30" s="292"/>
      <c r="G30" s="293"/>
      <c r="I30" s="293"/>
      <c r="K30" s="293"/>
      <c r="L30" s="295"/>
      <c r="M30" s="637">
        <f t="shared" si="0"/>
        <v>0</v>
      </c>
    </row>
    <row r="31" spans="2:14" ht="21" customHeight="1">
      <c r="B31" s="292"/>
      <c r="C31" s="292"/>
      <c r="D31" s="292"/>
      <c r="E31" s="292"/>
      <c r="G31" s="293"/>
      <c r="I31" s="293"/>
      <c r="K31" s="293"/>
      <c r="L31" s="295"/>
      <c r="M31" s="637">
        <f t="shared" si="0"/>
        <v>0</v>
      </c>
    </row>
    <row r="32" spans="2:14" ht="21" customHeight="1">
      <c r="B32" s="292"/>
      <c r="C32" s="292"/>
      <c r="D32" s="292"/>
      <c r="E32" s="292"/>
      <c r="G32" s="293"/>
      <c r="I32" s="293"/>
      <c r="K32" s="293"/>
      <c r="L32" s="295"/>
      <c r="M32" s="637">
        <f t="shared" si="0"/>
        <v>0</v>
      </c>
    </row>
    <row r="33" spans="2:13" ht="21" customHeight="1">
      <c r="B33" s="292"/>
      <c r="C33" s="292"/>
      <c r="D33" s="292"/>
      <c r="E33" s="292"/>
      <c r="G33" s="293"/>
      <c r="I33" s="293"/>
      <c r="K33" s="293"/>
      <c r="L33" s="295"/>
      <c r="M33" s="637">
        <f t="shared" si="0"/>
        <v>0</v>
      </c>
    </row>
    <row r="34" spans="2:13" ht="21" customHeight="1">
      <c r="B34" s="292"/>
      <c r="C34" s="292"/>
      <c r="D34" s="292"/>
      <c r="E34" s="292"/>
      <c r="G34" s="293"/>
      <c r="I34" s="293"/>
      <c r="K34" s="293"/>
      <c r="L34" s="295"/>
      <c r="M34" s="637">
        <f t="shared" si="0"/>
        <v>0</v>
      </c>
    </row>
    <row r="35" spans="2:13" ht="21" customHeight="1">
      <c r="B35" s="292"/>
      <c r="C35" s="292"/>
      <c r="D35" s="292"/>
      <c r="E35" s="292"/>
      <c r="G35" s="293"/>
      <c r="I35" s="293"/>
      <c r="K35" s="293"/>
      <c r="L35" s="295"/>
      <c r="M35" s="637">
        <f t="shared" si="0"/>
        <v>0</v>
      </c>
    </row>
    <row r="36" spans="2:13" ht="21" customHeight="1">
      <c r="B36" s="292"/>
      <c r="C36" s="292"/>
      <c r="D36" s="292"/>
      <c r="E36" s="292"/>
      <c r="G36" s="293"/>
      <c r="I36" s="293"/>
      <c r="K36" s="293"/>
      <c r="L36" s="295"/>
      <c r="M36" s="637">
        <f t="shared" si="0"/>
        <v>0</v>
      </c>
    </row>
    <row r="37" spans="2:13" ht="21" customHeight="1">
      <c r="B37" s="292"/>
      <c r="C37" s="292"/>
      <c r="D37" s="292"/>
      <c r="E37" s="292"/>
      <c r="G37" s="293"/>
      <c r="I37" s="293"/>
      <c r="K37" s="293"/>
      <c r="L37" s="295"/>
      <c r="M37" s="637">
        <f t="shared" si="0"/>
        <v>0</v>
      </c>
    </row>
    <row r="38" spans="2:13" ht="21" customHeight="1">
      <c r="B38" s="292"/>
      <c r="C38" s="292"/>
      <c r="D38" s="292"/>
      <c r="E38" s="292"/>
      <c r="G38" s="293"/>
      <c r="I38" s="293"/>
      <c r="K38" s="293"/>
      <c r="L38" s="295"/>
      <c r="M38" s="637">
        <f t="shared" si="0"/>
        <v>0</v>
      </c>
    </row>
    <row r="39" spans="2:13" ht="21" customHeight="1">
      <c r="B39" s="292"/>
      <c r="C39" s="292"/>
      <c r="D39" s="292"/>
      <c r="E39" s="292"/>
      <c r="G39" s="293"/>
      <c r="I39" s="293"/>
      <c r="K39" s="293"/>
      <c r="L39" s="295"/>
      <c r="M39" s="637">
        <f t="shared" si="0"/>
        <v>0</v>
      </c>
    </row>
    <row r="40" spans="2:13" ht="21" customHeight="1">
      <c r="B40" s="292"/>
      <c r="C40" s="292"/>
      <c r="D40" s="292"/>
      <c r="E40" s="292"/>
      <c r="G40" s="293"/>
      <c r="I40" s="293"/>
      <c r="K40" s="293"/>
      <c r="L40" s="295"/>
      <c r="M40" s="637">
        <f t="shared" si="0"/>
        <v>0</v>
      </c>
    </row>
    <row r="41" spans="2:13" ht="21" customHeight="1">
      <c r="B41" s="292"/>
      <c r="C41" s="292"/>
      <c r="D41" s="292"/>
      <c r="E41" s="292"/>
      <c r="G41" s="293"/>
      <c r="I41" s="293"/>
      <c r="K41" s="293"/>
      <c r="L41" s="295"/>
      <c r="M41" s="637">
        <f t="shared" si="0"/>
        <v>0</v>
      </c>
    </row>
    <row r="42" spans="2:13" ht="21" customHeight="1">
      <c r="B42" s="292"/>
      <c r="C42" s="292"/>
      <c r="D42" s="292"/>
      <c r="E42" s="292"/>
      <c r="G42" s="293"/>
      <c r="I42" s="293"/>
      <c r="K42" s="293"/>
      <c r="L42" s="295"/>
      <c r="M42" s="637">
        <f t="shared" si="0"/>
        <v>0</v>
      </c>
    </row>
    <row r="43" spans="2:13" ht="21" customHeight="1">
      <c r="B43" s="292"/>
      <c r="C43" s="292"/>
      <c r="D43" s="292"/>
      <c r="E43" s="292"/>
      <c r="G43" s="293"/>
      <c r="I43" s="293"/>
      <c r="K43" s="293"/>
      <c r="L43" s="295"/>
      <c r="M43" s="637">
        <f t="shared" si="0"/>
        <v>0</v>
      </c>
    </row>
    <row r="44" spans="2:13" ht="21" customHeight="1">
      <c r="B44" s="292"/>
      <c r="C44" s="292"/>
      <c r="D44" s="292"/>
      <c r="E44" s="292"/>
      <c r="G44" s="293"/>
      <c r="I44" s="293"/>
      <c r="K44" s="293"/>
      <c r="L44" s="295"/>
      <c r="M44" s="637">
        <f t="shared" si="0"/>
        <v>0</v>
      </c>
    </row>
    <row r="45" spans="2:13" ht="21" customHeight="1">
      <c r="B45" s="292"/>
      <c r="C45" s="292"/>
      <c r="D45" s="292"/>
      <c r="E45" s="292"/>
      <c r="G45" s="293"/>
      <c r="I45" s="293"/>
      <c r="K45" s="293"/>
      <c r="L45" s="295"/>
      <c r="M45" s="637">
        <f t="shared" si="0"/>
        <v>0</v>
      </c>
    </row>
    <row r="46" spans="2:13" ht="21" customHeight="1">
      <c r="B46" s="292"/>
      <c r="C46" s="292"/>
      <c r="D46" s="292"/>
      <c r="E46" s="292"/>
      <c r="G46" s="293"/>
      <c r="I46" s="293"/>
      <c r="K46" s="293"/>
      <c r="L46" s="295"/>
      <c r="M46" s="637">
        <f t="shared" si="0"/>
        <v>0</v>
      </c>
    </row>
    <row r="47" spans="2:13" ht="21" customHeight="1">
      <c r="B47" s="292"/>
      <c r="C47" s="292"/>
      <c r="D47" s="292"/>
      <c r="E47" s="292"/>
      <c r="G47" s="293"/>
      <c r="I47" s="293"/>
      <c r="K47" s="293"/>
      <c r="L47" s="295"/>
      <c r="M47" s="637">
        <f t="shared" si="0"/>
        <v>0</v>
      </c>
    </row>
    <row r="48" spans="2:13" ht="21" customHeight="1">
      <c r="D48" s="112" t="s">
        <v>3255</v>
      </c>
      <c r="F48" t="s">
        <v>373</v>
      </c>
      <c r="G48" s="149">
        <f>SUM(G10:G47)</f>
        <v>245057.19999999998</v>
      </c>
      <c r="H48" t="s">
        <v>373</v>
      </c>
      <c r="I48" s="149">
        <f>SUM(I10:I47)</f>
        <v>933468.92</v>
      </c>
      <c r="J48" t="s">
        <v>373</v>
      </c>
      <c r="K48" s="149">
        <f>SUM(K10:K47)</f>
        <v>849468.8</v>
      </c>
      <c r="L48" t="s">
        <v>373</v>
      </c>
      <c r="M48" s="637">
        <f>SUM(M10:M47)</f>
        <v>329057.32</v>
      </c>
    </row>
    <row r="50" spans="2:13" ht="13.8">
      <c r="B50" s="1191" t="s">
        <v>3258</v>
      </c>
      <c r="C50" s="1191"/>
      <c r="D50" s="1191"/>
      <c r="E50" s="1191"/>
      <c r="F50" s="1191"/>
      <c r="G50" s="1191"/>
      <c r="H50" s="1191"/>
      <c r="I50" s="1191"/>
      <c r="J50" s="1191"/>
      <c r="K50" s="1191"/>
      <c r="L50" s="1191"/>
      <c r="M50" s="1191"/>
    </row>
    <row r="52" spans="2:13">
      <c r="G52" s="204"/>
      <c r="M52" s="204"/>
    </row>
  </sheetData>
  <sheetProtection algorithmName="SHA-512" hashValue="uTz1yDE7iy6NR2B0r7KUKZNQstVQgclEermFrtQ8VRUe/vY6x1JYKHEu6q9KGVld+v/tRykJ14eZ3S06/q7gqg==" saltValue="6D9BBmnOfkCMfNHQ01wZAQ=="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C5741-F5FD-4502-83AA-9C2F5FAFF3D8}">
  <sheetPr codeName="Sheet232">
    <tabColor theme="2" tint="-0.249977111117893"/>
  </sheetPr>
  <dimension ref="B3:T69"/>
  <sheetViews>
    <sheetView zoomScaleNormal="100" zoomScaleSheetLayoutView="80" workbookViewId="0">
      <selection activeCell="B55" sqref="B55"/>
    </sheetView>
  </sheetViews>
  <sheetFormatPr defaultColWidth="9.109375" defaultRowHeight="13.2"/>
  <cols>
    <col min="1" max="4" width="4.6640625" style="267" customWidth="1"/>
    <col min="5" max="8" width="9.109375" style="267"/>
    <col min="9" max="9" width="1.6640625" style="267" customWidth="1"/>
    <col min="10" max="10" width="16.6640625" style="267" customWidth="1"/>
    <col min="11" max="11" width="1.6640625" style="267" customWidth="1"/>
    <col min="12" max="12" width="16.6640625" style="267" customWidth="1"/>
    <col min="13" max="16384" width="9.109375" style="267"/>
  </cols>
  <sheetData>
    <row r="3" spans="2:20" ht="17.399999999999999">
      <c r="B3" s="1386" t="str">
        <f>"SCHEDULE  OF "&amp;UPPER('KEY INPUTS'!D57&amp;"  UTILITY  ACCOUNTS  RECEIVABLE")</f>
        <v>SCHEDULE  OF   UTILITY  ACCOUNTS  RECEIVABLE</v>
      </c>
      <c r="C3" s="1386"/>
      <c r="D3" s="1386"/>
      <c r="E3" s="1386"/>
      <c r="F3" s="1386"/>
      <c r="G3" s="1386"/>
      <c r="H3" s="1386"/>
      <c r="I3" s="1386"/>
      <c r="J3" s="1386"/>
      <c r="K3" s="1386"/>
      <c r="L3" s="1386"/>
    </row>
    <row r="6" spans="2:20">
      <c r="B6" s="367" t="str">
        <f>IF('KEY INPUTS'!C42="State Fiscal Year","Balance June 30, "&amp;'KEY INPUTS'!D33-1&amp;"","Balance December 31, "&amp;'KEY INPUTS'!D34-1&amp;"")</f>
        <v>Balance December 31, 2023</v>
      </c>
      <c r="J6" s="61"/>
      <c r="K6" s="267" t="s">
        <v>373</v>
      </c>
      <c r="L6" s="431"/>
      <c r="N6"/>
      <c r="O6"/>
      <c r="P6"/>
      <c r="Q6"/>
      <c r="R6"/>
      <c r="S6"/>
      <c r="T6"/>
    </row>
    <row r="7" spans="2:20">
      <c r="J7" s="61"/>
      <c r="K7" s="61"/>
      <c r="L7" s="61"/>
      <c r="N7"/>
      <c r="O7"/>
      <c r="P7"/>
      <c r="Q7"/>
      <c r="R7"/>
      <c r="S7"/>
      <c r="T7"/>
    </row>
    <row r="8" spans="2:20">
      <c r="J8" s="61"/>
      <c r="K8" s="61"/>
      <c r="L8" s="61"/>
      <c r="N8" s="294"/>
      <c r="O8"/>
      <c r="P8"/>
      <c r="Q8"/>
      <c r="R8"/>
      <c r="S8"/>
      <c r="T8"/>
    </row>
    <row r="9" spans="2:20">
      <c r="J9" s="61"/>
      <c r="K9" s="61"/>
      <c r="L9" s="61"/>
      <c r="N9"/>
      <c r="O9"/>
      <c r="P9"/>
      <c r="Q9"/>
      <c r="R9"/>
      <c r="S9"/>
      <c r="T9"/>
    </row>
    <row r="10" spans="2:20">
      <c r="B10" s="267" t="s">
        <v>214</v>
      </c>
      <c r="J10" s="61"/>
      <c r="K10" s="61"/>
      <c r="L10" s="61"/>
      <c r="N10"/>
      <c r="O10"/>
      <c r="P10"/>
      <c r="Q10"/>
      <c r="R10"/>
      <c r="S10"/>
      <c r="T10"/>
    </row>
    <row r="11" spans="2:20">
      <c r="D11" s="267" t="s">
        <v>3482</v>
      </c>
      <c r="J11" s="61"/>
      <c r="K11" s="267" t="s">
        <v>373</v>
      </c>
      <c r="L11" s="431"/>
      <c r="N11"/>
      <c r="O11"/>
      <c r="P11"/>
      <c r="Q11"/>
      <c r="R11"/>
      <c r="S11"/>
      <c r="T11"/>
    </row>
    <row r="12" spans="2:20">
      <c r="J12" s="61"/>
      <c r="K12" s="61"/>
      <c r="L12" s="61"/>
      <c r="N12"/>
      <c r="O12"/>
      <c r="P12"/>
      <c r="Q12"/>
      <c r="R12"/>
      <c r="S12"/>
      <c r="T12"/>
    </row>
    <row r="13" spans="2:20">
      <c r="J13" s="61"/>
      <c r="K13" s="61"/>
      <c r="L13" s="61"/>
      <c r="N13"/>
      <c r="O13"/>
      <c r="P13"/>
      <c r="Q13"/>
      <c r="R13"/>
      <c r="S13"/>
      <c r="T13"/>
    </row>
    <row r="14" spans="2:20">
      <c r="J14" s="61"/>
      <c r="K14" s="61"/>
      <c r="L14" s="61"/>
      <c r="N14"/>
      <c r="O14"/>
      <c r="P14"/>
      <c r="Q14"/>
      <c r="R14"/>
      <c r="S14"/>
      <c r="T14"/>
    </row>
    <row r="15" spans="2:20">
      <c r="B15" s="267" t="s">
        <v>215</v>
      </c>
      <c r="J15" s="61"/>
      <c r="K15" s="61"/>
      <c r="L15" s="61"/>
      <c r="N15"/>
      <c r="O15"/>
      <c r="P15"/>
      <c r="Q15"/>
      <c r="R15"/>
      <c r="S15"/>
      <c r="T15"/>
    </row>
    <row r="16" spans="2:20" ht="21" customHeight="1">
      <c r="D16" s="267" t="s">
        <v>216</v>
      </c>
      <c r="I16" s="267" t="s">
        <v>373</v>
      </c>
      <c r="J16" s="431"/>
      <c r="K16" s="61"/>
      <c r="L16" s="61"/>
      <c r="N16"/>
      <c r="O16"/>
      <c r="P16"/>
      <c r="Q16"/>
      <c r="R16"/>
      <c r="S16"/>
      <c r="T16"/>
    </row>
    <row r="17" spans="2:20" ht="21" customHeight="1">
      <c r="D17" s="267" t="s">
        <v>217</v>
      </c>
      <c r="I17" s="267" t="s">
        <v>373</v>
      </c>
      <c r="J17" s="431"/>
      <c r="K17" s="61"/>
      <c r="L17" s="61"/>
      <c r="N17"/>
      <c r="O17"/>
      <c r="P17"/>
      <c r="Q17"/>
      <c r="R17"/>
      <c r="S17"/>
      <c r="T17"/>
    </row>
    <row r="18" spans="2:20" ht="21" customHeight="1">
      <c r="D18" s="267" t="s">
        <v>3483</v>
      </c>
      <c r="I18" s="267" t="s">
        <v>373</v>
      </c>
      <c r="J18" s="431"/>
      <c r="K18" s="61"/>
      <c r="L18" s="61"/>
      <c r="N18"/>
      <c r="O18"/>
      <c r="P18"/>
      <c r="Q18"/>
      <c r="R18"/>
      <c r="S18"/>
      <c r="T18"/>
    </row>
    <row r="19" spans="2:20" ht="21" customHeight="1">
      <c r="D19" s="267" t="s">
        <v>218</v>
      </c>
      <c r="I19" s="267" t="s">
        <v>373</v>
      </c>
      <c r="J19" s="431"/>
      <c r="K19" s="61"/>
      <c r="L19" s="61"/>
      <c r="N19"/>
      <c r="O19"/>
      <c r="P19"/>
      <c r="Q19"/>
      <c r="R19"/>
      <c r="S19"/>
      <c r="T19"/>
    </row>
    <row r="20" spans="2:20">
      <c r="J20" s="61"/>
      <c r="K20" s="61"/>
      <c r="L20" s="61"/>
      <c r="N20"/>
      <c r="O20"/>
      <c r="P20"/>
      <c r="Q20"/>
      <c r="R20"/>
      <c r="S20"/>
      <c r="T20"/>
    </row>
    <row r="21" spans="2:20">
      <c r="J21" s="61"/>
      <c r="K21" s="267" t="s">
        <v>373</v>
      </c>
      <c r="L21" s="63">
        <f>SUM(J16:J19)</f>
        <v>0</v>
      </c>
      <c r="N21"/>
      <c r="O21"/>
      <c r="P21"/>
      <c r="Q21"/>
      <c r="R21"/>
      <c r="S21"/>
      <c r="T21"/>
    </row>
    <row r="22" spans="2:20">
      <c r="J22" s="61"/>
      <c r="K22" s="61"/>
      <c r="L22" s="61"/>
      <c r="N22"/>
      <c r="O22"/>
      <c r="P22"/>
      <c r="Q22"/>
      <c r="R22"/>
      <c r="S22"/>
      <c r="T22"/>
    </row>
    <row r="23" spans="2:20">
      <c r="J23" s="61"/>
      <c r="K23" s="61"/>
      <c r="L23" s="61"/>
    </row>
    <row r="24" spans="2:20" ht="13.8" thickBot="1">
      <c r="B24" s="367" t="str">
        <f>IF('KEY INPUTS'!C42="State Fiscal Year","Balance June 30, "&amp;'KEY INPUTS'!D33&amp;"","Balance December 31, "&amp;'KEY INPUTS'!D34&amp;"")</f>
        <v>Balance December 31, 2024</v>
      </c>
      <c r="J24" s="61"/>
      <c r="K24" s="267" t="s">
        <v>373</v>
      </c>
      <c r="L24" s="80">
        <f>+L6+L11-L21</f>
        <v>0</v>
      </c>
    </row>
    <row r="25" spans="2:20" ht="13.8" thickTop="1"/>
    <row r="28" spans="2:20">
      <c r="B28" s="333"/>
      <c r="C28" s="333"/>
      <c r="D28" s="333"/>
      <c r="E28" s="333"/>
      <c r="F28" s="333"/>
      <c r="G28" s="333"/>
      <c r="H28" s="333"/>
      <c r="I28" s="333"/>
      <c r="J28" s="333"/>
      <c r="K28" s="333"/>
      <c r="L28" s="333"/>
    </row>
    <row r="29" spans="2:20" ht="4.5" customHeight="1">
      <c r="B29" s="333"/>
      <c r="C29" s="333"/>
      <c r="D29" s="333"/>
      <c r="E29" s="333"/>
      <c r="F29" s="333"/>
      <c r="G29" s="333"/>
      <c r="H29" s="333"/>
      <c r="I29" s="333"/>
      <c r="J29" s="333"/>
      <c r="K29" s="333"/>
      <c r="L29" s="333"/>
    </row>
    <row r="33" spans="2:12" ht="17.399999999999999">
      <c r="B33" s="1380" t="str">
        <f>"SCHEDULE  OF "&amp;UPPER('KEY INPUTS'!D57)&amp;" UTILITY  LIENS"</f>
        <v>SCHEDULE  OF  UTILITY  LIENS</v>
      </c>
      <c r="C33" s="1380"/>
      <c r="D33" s="1380"/>
      <c r="E33" s="1380"/>
      <c r="F33" s="1380"/>
      <c r="G33" s="1380"/>
      <c r="H33" s="1380"/>
      <c r="I33" s="1380"/>
      <c r="J33" s="1380"/>
      <c r="K33" s="1380"/>
      <c r="L33" s="1380"/>
    </row>
    <row r="36" spans="2:12">
      <c r="B36" s="367" t="str">
        <f>IF('KEY INPUTS'!C42="State Fiscal Year","Balance June 30, "&amp;'KEY INPUTS'!D33-1&amp;"","Balance December 31, "&amp;'KEY INPUTS'!D34-1&amp;"")</f>
        <v>Balance December 31, 2023</v>
      </c>
      <c r="I36" s="61"/>
      <c r="J36" s="61"/>
      <c r="K36" s="61" t="s">
        <v>373</v>
      </c>
      <c r="L36" s="431"/>
    </row>
    <row r="37" spans="2:12">
      <c r="I37" s="61"/>
      <c r="J37" s="61"/>
      <c r="K37" s="61"/>
      <c r="L37" s="61"/>
    </row>
    <row r="38" spans="2:12">
      <c r="I38" s="61"/>
      <c r="J38" s="61"/>
      <c r="K38" s="61"/>
      <c r="L38" s="61"/>
    </row>
    <row r="39" spans="2:12">
      <c r="I39" s="61"/>
      <c r="J39" s="61"/>
      <c r="K39" s="61"/>
      <c r="L39" s="61"/>
    </row>
    <row r="40" spans="2:12">
      <c r="B40" s="267" t="s">
        <v>214</v>
      </c>
      <c r="I40" s="61"/>
      <c r="J40" s="61"/>
      <c r="K40" s="61"/>
      <c r="L40" s="61"/>
    </row>
    <row r="41" spans="2:12" ht="21" customHeight="1">
      <c r="D41" s="267" t="s">
        <v>219</v>
      </c>
      <c r="I41" s="267" t="s">
        <v>373</v>
      </c>
      <c r="J41" s="431"/>
      <c r="K41" s="61"/>
      <c r="L41" s="61"/>
    </row>
    <row r="42" spans="2:12" ht="21" customHeight="1">
      <c r="D42" s="267" t="s">
        <v>220</v>
      </c>
      <c r="I42" s="267" t="s">
        <v>373</v>
      </c>
      <c r="J42" s="431"/>
      <c r="K42" s="61"/>
      <c r="L42" s="61"/>
    </row>
    <row r="43" spans="2:12" ht="21" customHeight="1">
      <c r="D43" s="267" t="s">
        <v>218</v>
      </c>
      <c r="I43" s="267" t="s">
        <v>373</v>
      </c>
      <c r="J43" s="431"/>
      <c r="K43" s="119"/>
      <c r="L43" s="119"/>
    </row>
    <row r="44" spans="2:12">
      <c r="I44" s="61"/>
      <c r="J44" s="61"/>
      <c r="K44" s="61"/>
      <c r="L44" s="61"/>
    </row>
    <row r="45" spans="2:12">
      <c r="I45" s="61"/>
      <c r="J45" s="61"/>
      <c r="K45" s="267" t="s">
        <v>373</v>
      </c>
      <c r="L45" s="63">
        <f>SUM(J41:J43)</f>
        <v>0</v>
      </c>
    </row>
    <row r="46" spans="2:12">
      <c r="I46" s="61"/>
      <c r="J46" s="61"/>
      <c r="K46" s="61"/>
      <c r="L46" s="61"/>
    </row>
    <row r="47" spans="2:12">
      <c r="B47" s="267" t="s">
        <v>215</v>
      </c>
      <c r="I47" s="61"/>
      <c r="J47" s="61"/>
      <c r="K47" s="61"/>
      <c r="L47" s="61"/>
    </row>
    <row r="48" spans="2:12" ht="21" customHeight="1">
      <c r="D48" s="267" t="s">
        <v>216</v>
      </c>
      <c r="I48" s="267" t="s">
        <v>373</v>
      </c>
      <c r="J48" s="431"/>
      <c r="K48" s="61"/>
      <c r="L48" s="61"/>
    </row>
    <row r="49" spans="2:12" ht="21" customHeight="1">
      <c r="D49" s="267" t="s">
        <v>218</v>
      </c>
      <c r="I49" s="267" t="s">
        <v>373</v>
      </c>
      <c r="J49" s="431"/>
      <c r="K49" s="61"/>
      <c r="L49" s="61"/>
    </row>
    <row r="50" spans="2:12">
      <c r="I50" s="61"/>
      <c r="J50" s="61"/>
      <c r="K50" s="61"/>
      <c r="L50" s="61"/>
    </row>
    <row r="51" spans="2:12">
      <c r="I51" s="61"/>
      <c r="J51" s="61"/>
      <c r="K51" s="267" t="s">
        <v>373</v>
      </c>
      <c r="L51" s="63">
        <f>+J49+J48</f>
        <v>0</v>
      </c>
    </row>
    <row r="52" spans="2:12">
      <c r="I52" s="61"/>
      <c r="J52" s="61"/>
      <c r="K52" s="61"/>
      <c r="L52" s="61"/>
    </row>
    <row r="53" spans="2:12">
      <c r="I53" s="61"/>
      <c r="J53" s="61"/>
      <c r="K53" s="61"/>
      <c r="L53" s="61"/>
    </row>
    <row r="54" spans="2:12" ht="13.8" thickBot="1">
      <c r="B54" s="367" t="str">
        <f>IF('KEY INPUTS'!C42="State Fiscal Year","Balance June 30, "&amp;'KEY INPUTS'!D33&amp;"","Balance December 31, "&amp;'KEY INPUTS'!D34&amp;"")</f>
        <v>Balance December 31, 2024</v>
      </c>
      <c r="I54" s="61"/>
      <c r="J54" s="61"/>
      <c r="K54" s="267" t="s">
        <v>373</v>
      </c>
      <c r="L54" s="80">
        <f>+L36+L45-L51</f>
        <v>0</v>
      </c>
    </row>
    <row r="55" spans="2:12" ht="13.8" thickTop="1">
      <c r="I55" s="61"/>
      <c r="J55" s="61"/>
      <c r="K55" s="61"/>
      <c r="L55" s="61"/>
    </row>
    <row r="69" spans="2:12" ht="13.8">
      <c r="B69" s="1353" t="s">
        <v>3163</v>
      </c>
      <c r="C69" s="1353"/>
      <c r="D69" s="1353"/>
      <c r="E69" s="1353"/>
      <c r="F69" s="1353"/>
      <c r="G69" s="1353"/>
      <c r="H69" s="1353"/>
      <c r="I69" s="1353"/>
      <c r="J69" s="1353"/>
      <c r="K69" s="1353"/>
      <c r="L69" s="1353"/>
    </row>
  </sheetData>
  <sheetProtection algorithmName="SHA-512" hashValue="Mh1wRqiKz6RJ+9R/zEH1lqRRM6l6SSUp8TiOpySvjgPX4iCX167K/DMwUwooN4ydPRVhO6cpeZ6EIlwisjNywA==" saltValue="44xWm2K063CCfV/6dj7X0w=="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26E97-A6FE-4F27-89EB-7C978E7B7994}">
  <sheetPr codeName="Sheet233">
    <tabColor theme="2" tint="-0.249977111117893"/>
  </sheetPr>
  <dimension ref="B3:W69"/>
  <sheetViews>
    <sheetView topLeftCell="A16" zoomScaleNormal="100" zoomScaleSheetLayoutView="80" workbookViewId="0">
      <selection activeCell="N45" sqref="N45"/>
    </sheetView>
  </sheetViews>
  <sheetFormatPr defaultColWidth="9.109375" defaultRowHeight="13.2"/>
  <cols>
    <col min="1" max="4" width="4.6640625" style="267" customWidth="1"/>
    <col min="5" max="6" width="9.109375" style="267"/>
    <col min="7" max="7" width="1.6640625" style="267" customWidth="1"/>
    <col min="8" max="8" width="14.6640625" style="267" customWidth="1"/>
    <col min="9" max="9" width="1.6640625" style="267" customWidth="1"/>
    <col min="10" max="10" width="14.6640625" style="267" customWidth="1"/>
    <col min="11" max="11" width="1.6640625" style="267" customWidth="1"/>
    <col min="12" max="12" width="14.6640625" style="267" customWidth="1"/>
    <col min="13" max="13" width="1.6640625" style="267" customWidth="1"/>
    <col min="14" max="14" width="14.6640625" style="267" customWidth="1"/>
    <col min="15" max="16384" width="9.109375" style="267"/>
  </cols>
  <sheetData>
    <row r="3" spans="2:23" ht="20.399999999999999">
      <c r="B3" s="1363" t="s">
        <v>868</v>
      </c>
      <c r="C3" s="1363"/>
      <c r="D3" s="1363"/>
      <c r="E3" s="1363"/>
      <c r="F3" s="1363"/>
      <c r="G3" s="1363"/>
      <c r="H3" s="1363"/>
      <c r="I3" s="1363"/>
      <c r="J3" s="1363"/>
      <c r="K3" s="1363"/>
      <c r="L3" s="1363"/>
      <c r="M3" s="1363"/>
      <c r="N3" s="1363"/>
    </row>
    <row r="4" spans="2:23" ht="15.6">
      <c r="B4" s="1391" t="s">
        <v>421</v>
      </c>
      <c r="C4" s="1391"/>
      <c r="D4" s="1391"/>
      <c r="E4" s="1391"/>
      <c r="F4" s="1391"/>
      <c r="G4" s="1391"/>
      <c r="H4" s="1391"/>
      <c r="I4" s="1391"/>
      <c r="J4" s="1391"/>
      <c r="K4" s="1391"/>
      <c r="L4" s="1391"/>
      <c r="M4" s="1391"/>
      <c r="N4" s="1391"/>
    </row>
    <row r="5" spans="2:23" ht="20.399999999999999">
      <c r="B5" s="1363" t="str">
        <f>UPPER('KEY INPUTS'!D57)&amp;" UTILITY  FUND"</f>
        <v xml:space="preserve"> UTILITY  FUND</v>
      </c>
      <c r="C5" s="1363"/>
      <c r="D5" s="1363"/>
      <c r="E5" s="1363"/>
      <c r="F5" s="1363"/>
      <c r="G5" s="1363"/>
      <c r="H5" s="1363"/>
      <c r="I5" s="1363"/>
      <c r="J5" s="1363"/>
      <c r="K5" s="1363"/>
      <c r="L5" s="1363"/>
      <c r="M5" s="1363"/>
      <c r="N5" s="1363"/>
    </row>
    <row r="6" spans="2:23">
      <c r="B6" s="1392" t="s">
        <v>3572</v>
      </c>
      <c r="C6" s="1392"/>
      <c r="D6" s="1392"/>
      <c r="E6" s="1392"/>
      <c r="F6" s="1392"/>
      <c r="G6" s="1392"/>
      <c r="H6" s="1392"/>
      <c r="I6" s="1392"/>
      <c r="J6" s="1392"/>
      <c r="K6" s="1392"/>
      <c r="L6" s="1392"/>
      <c r="M6" s="1392"/>
      <c r="N6" s="1392"/>
    </row>
    <row r="8" spans="2:23">
      <c r="H8" s="302" t="s">
        <v>414</v>
      </c>
    </row>
    <row r="9" spans="2:23">
      <c r="C9" s="1389" t="s">
        <v>434</v>
      </c>
      <c r="D9" s="1389"/>
      <c r="E9" s="1389"/>
      <c r="H9" s="374" t="str">
        <f>IF('KEY INPUTS'!C42 = "State Fiscal Year", 'KEY INPUTS'!F46,'KEY INPUTS'!D46)</f>
        <v>Dec. 31, 2023</v>
      </c>
      <c r="J9" s="302" t="s">
        <v>435</v>
      </c>
      <c r="L9" s="302" t="s">
        <v>414</v>
      </c>
      <c r="N9" s="302" t="s">
        <v>529</v>
      </c>
    </row>
    <row r="10" spans="2:23">
      <c r="H10" s="302" t="s">
        <v>433</v>
      </c>
      <c r="J10" s="302" t="str">
        <f>IF('KEY INPUTS'!C42="State Fiscal Year","Fiscal Year "&amp;'KEY INPUTS'!D33&amp;"",'KEY INPUTS'!D34)&amp;""</f>
        <v>2024</v>
      </c>
      <c r="L10" s="302" t="s">
        <v>436</v>
      </c>
      <c r="N10" s="302" t="s">
        <v>437</v>
      </c>
    </row>
    <row r="11" spans="2:23">
      <c r="H11" s="369" t="s">
        <v>432</v>
      </c>
      <c r="J11" s="369" t="s">
        <v>534</v>
      </c>
      <c r="L11" s="369" t="str">
        <f>IF('KEY INPUTS'!C42="State Fiscal Year","Fiscal Year "&amp;'KEY INPUTS'!D33&amp;"",'KEY INPUTS'!D34)&amp;""</f>
        <v>2024</v>
      </c>
      <c r="N11" s="373" t="str">
        <f>IF('KEY INPUTS'!C42 = "State Fiscal Year", 'KEY INPUTS'!F47,'KEY INPUTS'!D47)</f>
        <v>Dec. 31, 2024</v>
      </c>
      <c r="Q11"/>
      <c r="R11"/>
      <c r="S11"/>
      <c r="T11"/>
      <c r="U11"/>
      <c r="V11"/>
      <c r="W11"/>
    </row>
    <row r="12" spans="2:23">
      <c r="B12" s="368" t="s">
        <v>292</v>
      </c>
      <c r="C12" s="267" t="s">
        <v>869</v>
      </c>
      <c r="Q12"/>
      <c r="R12"/>
      <c r="S12"/>
      <c r="T12"/>
      <c r="U12"/>
      <c r="V12"/>
      <c r="W12"/>
    </row>
    <row r="13" spans="2:23">
      <c r="B13" s="368"/>
      <c r="D13" s="267" t="s">
        <v>870</v>
      </c>
      <c r="G13" s="267" t="s">
        <v>373</v>
      </c>
      <c r="H13" s="431"/>
      <c r="I13" s="267" t="s">
        <v>373</v>
      </c>
      <c r="J13" s="431"/>
      <c r="K13" s="267" t="s">
        <v>373</v>
      </c>
      <c r="L13" s="431"/>
      <c r="M13" s="267" t="s">
        <v>373</v>
      </c>
      <c r="N13" s="515">
        <f>+H13-J13+L13</f>
        <v>0</v>
      </c>
      <c r="Q13" s="294"/>
      <c r="R13"/>
      <c r="S13"/>
      <c r="T13"/>
      <c r="U13"/>
      <c r="V13"/>
      <c r="W13"/>
    </row>
    <row r="14" spans="2:23">
      <c r="B14" s="368"/>
      <c r="H14" s="61"/>
      <c r="J14" s="61"/>
      <c r="L14" s="61"/>
      <c r="Q14"/>
      <c r="R14"/>
      <c r="S14"/>
      <c r="T14"/>
      <c r="U14"/>
      <c r="V14"/>
      <c r="W14"/>
    </row>
    <row r="15" spans="2:23" ht="21" customHeight="1">
      <c r="B15" s="368" t="s">
        <v>293</v>
      </c>
      <c r="C15" s="514" t="s">
        <v>3131</v>
      </c>
      <c r="D15" s="514"/>
      <c r="E15" s="514"/>
      <c r="F15" s="514"/>
      <c r="G15" s="267" t="s">
        <v>373</v>
      </c>
      <c r="H15" s="431"/>
      <c r="I15" s="267" t="s">
        <v>373</v>
      </c>
      <c r="J15" s="431"/>
      <c r="K15" s="267" t="s">
        <v>373</v>
      </c>
      <c r="L15" s="431"/>
      <c r="M15" s="267" t="s">
        <v>373</v>
      </c>
      <c r="N15" s="515">
        <f>+H15-J15+L15</f>
        <v>0</v>
      </c>
      <c r="Q15"/>
      <c r="R15"/>
      <c r="S15"/>
      <c r="T15"/>
      <c r="U15"/>
      <c r="V15"/>
      <c r="W15"/>
    </row>
    <row r="16" spans="2:23" ht="21" customHeight="1">
      <c r="B16" s="368" t="s">
        <v>294</v>
      </c>
      <c r="C16" s="514"/>
      <c r="D16" s="514"/>
      <c r="E16" s="514"/>
      <c r="F16" s="514"/>
      <c r="G16" s="267" t="s">
        <v>373</v>
      </c>
      <c r="H16" s="431"/>
      <c r="I16" s="267" t="s">
        <v>373</v>
      </c>
      <c r="J16" s="431"/>
      <c r="K16" s="267" t="s">
        <v>373</v>
      </c>
      <c r="L16" s="431"/>
      <c r="M16" s="267" t="s">
        <v>373</v>
      </c>
      <c r="N16" s="515">
        <f>+H16-J16+L16</f>
        <v>0</v>
      </c>
      <c r="Q16"/>
      <c r="R16"/>
      <c r="S16"/>
      <c r="T16"/>
      <c r="U16"/>
      <c r="V16"/>
      <c r="W16"/>
    </row>
    <row r="17" spans="2:23" ht="21" customHeight="1">
      <c r="B17" s="368" t="s">
        <v>295</v>
      </c>
      <c r="C17" s="514"/>
      <c r="D17" s="514"/>
      <c r="E17" s="514"/>
      <c r="F17" s="514"/>
      <c r="G17" s="267" t="s">
        <v>373</v>
      </c>
      <c r="H17" s="431"/>
      <c r="I17" s="267" t="s">
        <v>373</v>
      </c>
      <c r="J17" s="431"/>
      <c r="K17" s="267" t="s">
        <v>373</v>
      </c>
      <c r="L17" s="431"/>
      <c r="M17" s="267" t="s">
        <v>373</v>
      </c>
      <c r="N17" s="515">
        <f t="shared" ref="N17:N23" si="0">+H17-J17+L17</f>
        <v>0</v>
      </c>
      <c r="Q17"/>
      <c r="R17"/>
      <c r="S17"/>
      <c r="T17"/>
      <c r="U17"/>
      <c r="V17"/>
      <c r="W17"/>
    </row>
    <row r="18" spans="2:23" ht="21" customHeight="1">
      <c r="B18" s="368" t="s">
        <v>296</v>
      </c>
      <c r="C18" s="514"/>
      <c r="D18" s="514"/>
      <c r="E18" s="514"/>
      <c r="F18" s="514"/>
      <c r="G18" s="267" t="s">
        <v>373</v>
      </c>
      <c r="H18" s="431"/>
      <c r="I18" s="267" t="s">
        <v>373</v>
      </c>
      <c r="J18" s="431"/>
      <c r="K18" s="267" t="s">
        <v>373</v>
      </c>
      <c r="L18" s="431"/>
      <c r="M18" s="267" t="s">
        <v>373</v>
      </c>
      <c r="N18" s="515">
        <f t="shared" si="0"/>
        <v>0</v>
      </c>
      <c r="Q18"/>
      <c r="R18"/>
      <c r="S18"/>
      <c r="T18"/>
      <c r="U18"/>
      <c r="V18"/>
      <c r="W18"/>
    </row>
    <row r="19" spans="2:23" ht="21" customHeight="1">
      <c r="B19" s="368"/>
      <c r="C19" s="840" t="s">
        <v>3207</v>
      </c>
      <c r="D19" s="840"/>
      <c r="E19" s="840"/>
      <c r="F19" s="840"/>
      <c r="G19" s="574" t="s">
        <v>373</v>
      </c>
      <c r="H19" s="431"/>
      <c r="I19" s="574" t="s">
        <v>373</v>
      </c>
      <c r="J19" s="431"/>
      <c r="K19" s="574" t="s">
        <v>373</v>
      </c>
      <c r="L19" s="431"/>
      <c r="M19" s="267" t="s">
        <v>373</v>
      </c>
      <c r="N19" s="515">
        <f t="shared" si="0"/>
        <v>0</v>
      </c>
      <c r="Q19"/>
      <c r="R19"/>
      <c r="S19"/>
      <c r="T19"/>
      <c r="U19"/>
      <c r="V19"/>
      <c r="W19"/>
    </row>
    <row r="20" spans="2:23" ht="21" customHeight="1">
      <c r="B20" s="368"/>
      <c r="C20" s="841" t="s">
        <v>3208</v>
      </c>
      <c r="D20" s="333"/>
      <c r="E20" s="840"/>
      <c r="F20" s="840"/>
      <c r="G20" s="574" t="s">
        <v>373</v>
      </c>
      <c r="H20" s="839">
        <f>H13+H15+H16+H17+H18+H19</f>
        <v>0</v>
      </c>
      <c r="I20" s="574" t="s">
        <v>373</v>
      </c>
      <c r="J20" s="839">
        <f>J13+J15+J16+J17+J18+J19</f>
        <v>0</v>
      </c>
      <c r="K20" s="574" t="s">
        <v>373</v>
      </c>
      <c r="L20" s="839">
        <f>L13+L15+L16+L17+L18+L19</f>
        <v>0</v>
      </c>
      <c r="M20" s="267" t="s">
        <v>373</v>
      </c>
      <c r="N20" s="839">
        <f>N13+N15+N16+N17+N18+N19</f>
        <v>0</v>
      </c>
      <c r="Q20"/>
      <c r="R20"/>
      <c r="S20"/>
      <c r="T20"/>
      <c r="U20"/>
      <c r="V20"/>
      <c r="W20"/>
    </row>
    <row r="21" spans="2:23" ht="21" customHeight="1">
      <c r="B21" s="368" t="s">
        <v>297</v>
      </c>
      <c r="C21" s="514"/>
      <c r="D21" s="514"/>
      <c r="E21" s="514"/>
      <c r="F21" s="514"/>
      <c r="G21" s="267" t="s">
        <v>373</v>
      </c>
      <c r="H21" s="431"/>
      <c r="I21" s="267" t="s">
        <v>373</v>
      </c>
      <c r="J21" s="431"/>
      <c r="K21" s="267" t="s">
        <v>373</v>
      </c>
      <c r="L21" s="431"/>
      <c r="M21" s="267" t="s">
        <v>373</v>
      </c>
      <c r="N21" s="515">
        <f t="shared" si="0"/>
        <v>0</v>
      </c>
      <c r="Q21"/>
      <c r="R21"/>
      <c r="S21"/>
      <c r="T21"/>
      <c r="U21"/>
      <c r="V21"/>
      <c r="W21"/>
    </row>
    <row r="22" spans="2:23" ht="21" customHeight="1">
      <c r="B22" s="368" t="s">
        <v>298</v>
      </c>
      <c r="C22" s="514"/>
      <c r="D22" s="514"/>
      <c r="E22" s="514"/>
      <c r="F22" s="514"/>
      <c r="G22" s="267" t="s">
        <v>373</v>
      </c>
      <c r="H22" s="431"/>
      <c r="I22" s="267" t="s">
        <v>373</v>
      </c>
      <c r="J22" s="431"/>
      <c r="K22" s="267" t="s">
        <v>373</v>
      </c>
      <c r="L22" s="431"/>
      <c r="M22" s="267" t="s">
        <v>373</v>
      </c>
      <c r="N22" s="515">
        <f t="shared" si="0"/>
        <v>0</v>
      </c>
      <c r="Q22"/>
      <c r="R22"/>
      <c r="S22"/>
      <c r="T22"/>
      <c r="U22"/>
      <c r="V22"/>
      <c r="W22"/>
    </row>
    <row r="23" spans="2:23" ht="21" customHeight="1">
      <c r="B23" s="368"/>
      <c r="C23" s="907" t="s">
        <v>3480</v>
      </c>
      <c r="D23" s="840"/>
      <c r="E23" s="840"/>
      <c r="F23" s="840"/>
      <c r="G23" s="574" t="s">
        <v>373</v>
      </c>
      <c r="H23" s="839">
        <f>H21+H22</f>
        <v>0</v>
      </c>
      <c r="I23" s="574" t="s">
        <v>373</v>
      </c>
      <c r="J23" s="839">
        <f>J21+J22</f>
        <v>0</v>
      </c>
      <c r="K23" s="574" t="s">
        <v>373</v>
      </c>
      <c r="L23" s="839">
        <f>L21+L22</f>
        <v>0</v>
      </c>
      <c r="M23" s="267" t="s">
        <v>373</v>
      </c>
      <c r="N23" s="515">
        <f t="shared" si="0"/>
        <v>0</v>
      </c>
      <c r="Q23"/>
      <c r="R23"/>
      <c r="S23"/>
      <c r="T23"/>
      <c r="U23"/>
      <c r="V23"/>
      <c r="W23"/>
    </row>
    <row r="24" spans="2:23">
      <c r="B24" s="368"/>
      <c r="Q24"/>
      <c r="R24"/>
      <c r="S24"/>
      <c r="T24"/>
      <c r="U24"/>
      <c r="V24"/>
      <c r="W24"/>
    </row>
    <row r="25" spans="2:23">
      <c r="B25" s="368"/>
      <c r="C25" s="267" t="s">
        <v>872</v>
      </c>
      <c r="Q25"/>
      <c r="R25"/>
      <c r="S25"/>
      <c r="T25"/>
      <c r="U25"/>
      <c r="V25"/>
      <c r="W25"/>
    </row>
    <row r="26" spans="2:23">
      <c r="B26" s="368"/>
      <c r="Q26"/>
      <c r="R26"/>
      <c r="S26"/>
      <c r="T26"/>
      <c r="U26"/>
      <c r="V26"/>
      <c r="W26"/>
    </row>
    <row r="27" spans="2:23">
      <c r="B27" s="368"/>
      <c r="Q27"/>
      <c r="R27"/>
      <c r="S27"/>
      <c r="T27"/>
      <c r="U27"/>
      <c r="V27"/>
      <c r="W27"/>
    </row>
    <row r="28" spans="2:23" ht="15.6">
      <c r="B28" s="1388" t="s">
        <v>3354</v>
      </c>
      <c r="C28" s="1388"/>
      <c r="D28" s="1388"/>
      <c r="E28" s="1388"/>
      <c r="F28" s="1388"/>
      <c r="G28" s="1388"/>
      <c r="H28" s="1388"/>
      <c r="I28" s="1388"/>
      <c r="J28" s="1388"/>
      <c r="K28" s="1388"/>
      <c r="L28" s="1388"/>
      <c r="M28" s="1388"/>
      <c r="N28" s="1388"/>
    </row>
    <row r="29" spans="2:23" ht="15.6">
      <c r="B29" s="1388" t="s">
        <v>3573</v>
      </c>
      <c r="C29" s="1388"/>
      <c r="D29" s="1388"/>
      <c r="E29" s="1388"/>
      <c r="F29" s="1388"/>
      <c r="G29" s="1388"/>
      <c r="H29" s="1388"/>
      <c r="I29" s="1388"/>
      <c r="J29" s="1388"/>
      <c r="K29" s="1388"/>
      <c r="L29" s="1388"/>
      <c r="M29" s="1388"/>
      <c r="N29" s="1388"/>
    </row>
    <row r="30" spans="2:23" ht="6.75" customHeight="1">
      <c r="B30" s="372"/>
      <c r="C30" s="372"/>
      <c r="D30" s="372"/>
      <c r="E30" s="372"/>
      <c r="F30" s="372"/>
      <c r="G30" s="372"/>
      <c r="H30" s="372"/>
      <c r="I30" s="372"/>
      <c r="J30" s="372"/>
      <c r="K30" s="372"/>
      <c r="L30" s="372"/>
      <c r="M30" s="372"/>
      <c r="N30" s="372"/>
    </row>
    <row r="31" spans="2:23" ht="18" customHeight="1">
      <c r="B31" s="368"/>
      <c r="D31" s="1390" t="s">
        <v>17</v>
      </c>
      <c r="E31" s="1390"/>
      <c r="F31" s="371"/>
      <c r="G31" s="1390" t="s">
        <v>413</v>
      </c>
      <c r="H31" s="1390"/>
      <c r="I31" s="1390"/>
      <c r="J31" s="1390"/>
      <c r="K31" s="1390"/>
      <c r="L31" s="1390"/>
      <c r="M31" s="371"/>
      <c r="N31" s="370" t="s">
        <v>414</v>
      </c>
    </row>
    <row r="32" spans="2:23" ht="21" customHeight="1">
      <c r="B32" s="368"/>
      <c r="C32" s="368" t="s">
        <v>292</v>
      </c>
      <c r="D32" s="514"/>
      <c r="E32" s="514"/>
      <c r="G32" s="514"/>
      <c r="H32" s="514"/>
      <c r="I32" s="514"/>
      <c r="J32" s="514"/>
      <c r="K32" s="514"/>
      <c r="L32" s="514"/>
      <c r="M32" s="267" t="s">
        <v>373</v>
      </c>
      <c r="N32" s="293"/>
    </row>
    <row r="33" spans="2:14" ht="21" customHeight="1">
      <c r="B33" s="368"/>
      <c r="C33" s="368" t="s">
        <v>293</v>
      </c>
      <c r="D33" s="514"/>
      <c r="E33" s="514"/>
      <c r="G33" s="514"/>
      <c r="H33" s="514"/>
      <c r="I33" s="514"/>
      <c r="J33" s="514"/>
      <c r="K33" s="514"/>
      <c r="L33" s="514"/>
      <c r="M33" s="267" t="s">
        <v>373</v>
      </c>
      <c r="N33" s="293"/>
    </row>
    <row r="34" spans="2:14" ht="21" customHeight="1">
      <c r="B34" s="368"/>
      <c r="C34" s="368" t="s">
        <v>294</v>
      </c>
      <c r="D34" s="514"/>
      <c r="E34" s="514"/>
      <c r="G34" s="514"/>
      <c r="H34" s="514"/>
      <c r="I34" s="514"/>
      <c r="J34" s="514"/>
      <c r="K34" s="514"/>
      <c r="L34" s="514"/>
      <c r="M34" s="267" t="s">
        <v>373</v>
      </c>
      <c r="N34" s="293"/>
    </row>
    <row r="35" spans="2:14" ht="21" customHeight="1">
      <c r="B35" s="368"/>
      <c r="C35" s="368" t="s">
        <v>295</v>
      </c>
      <c r="D35" s="514"/>
      <c r="E35" s="514"/>
      <c r="G35" s="514"/>
      <c r="H35" s="514"/>
      <c r="I35" s="514"/>
      <c r="J35" s="514"/>
      <c r="K35" s="514"/>
      <c r="L35" s="514"/>
      <c r="M35" s="267" t="s">
        <v>373</v>
      </c>
      <c r="N35" s="293"/>
    </row>
    <row r="36" spans="2:14" ht="21" customHeight="1">
      <c r="B36" s="368"/>
      <c r="C36" s="368" t="s">
        <v>296</v>
      </c>
      <c r="D36" s="514"/>
      <c r="E36" s="514"/>
      <c r="G36" s="514"/>
      <c r="H36" s="514"/>
      <c r="I36" s="514"/>
      <c r="J36" s="514"/>
      <c r="K36" s="514"/>
      <c r="L36" s="514"/>
      <c r="M36" s="267" t="s">
        <v>373</v>
      </c>
      <c r="N36" s="293"/>
    </row>
    <row r="37" spans="2:14">
      <c r="B37" s="368"/>
    </row>
    <row r="38" spans="2:14">
      <c r="B38" s="368"/>
    </row>
    <row r="39" spans="2:14">
      <c r="B39" s="368"/>
    </row>
    <row r="40" spans="2:14" ht="15.6">
      <c r="B40" s="1388" t="s">
        <v>250</v>
      </c>
      <c r="C40" s="1388"/>
      <c r="D40" s="1388"/>
      <c r="E40" s="1388"/>
      <c r="F40" s="1388"/>
      <c r="G40" s="1388"/>
      <c r="H40" s="1388"/>
      <c r="I40" s="1388"/>
      <c r="J40" s="1388"/>
      <c r="K40" s="1388"/>
      <c r="L40" s="1388"/>
      <c r="M40" s="1388"/>
      <c r="N40" s="1388"/>
    </row>
    <row r="41" spans="2:14">
      <c r="B41" s="368"/>
    </row>
    <row r="42" spans="2:14">
      <c r="B42" s="368"/>
      <c r="N42" s="302" t="s">
        <v>419</v>
      </c>
    </row>
    <row r="43" spans="2:14">
      <c r="B43" s="368"/>
      <c r="N43" s="302" t="s">
        <v>420</v>
      </c>
    </row>
    <row r="44" spans="2:14">
      <c r="B44" s="368"/>
      <c r="D44" s="1389" t="s">
        <v>416</v>
      </c>
      <c r="E44" s="1389"/>
      <c r="H44" s="1389" t="s">
        <v>417</v>
      </c>
      <c r="I44" s="1389"/>
      <c r="J44" s="369" t="s">
        <v>418</v>
      </c>
      <c r="L44" s="369" t="s">
        <v>414</v>
      </c>
      <c r="N44" s="369" t="str">
        <f>IF('KEY INPUTS'!C42="State Fiscal Year","Fiscal Year "&amp;'KEY INPUTS'!D33&amp;"",'KEY INPUTS'!D34)&amp;""</f>
        <v>2024</v>
      </c>
    </row>
    <row r="45" spans="2:14">
      <c r="B45" s="368"/>
    </row>
    <row r="46" spans="2:14" ht="21" customHeight="1">
      <c r="B46" s="368"/>
      <c r="C46" s="368" t="s">
        <v>292</v>
      </c>
      <c r="D46" s="514"/>
      <c r="E46" s="514"/>
      <c r="F46" s="514"/>
      <c r="G46" s="514"/>
      <c r="H46" s="514"/>
      <c r="I46" s="514"/>
      <c r="J46" s="514"/>
      <c r="K46" s="267" t="s">
        <v>373</v>
      </c>
      <c r="L46" s="293"/>
      <c r="M46" s="513"/>
      <c r="N46" s="293"/>
    </row>
    <row r="47" spans="2:14" ht="21" customHeight="1">
      <c r="B47" s="368"/>
      <c r="C47" s="368" t="s">
        <v>293</v>
      </c>
      <c r="D47" s="514"/>
      <c r="E47" s="514"/>
      <c r="F47" s="514"/>
      <c r="G47" s="514"/>
      <c r="H47" s="514"/>
      <c r="I47" s="514"/>
      <c r="J47" s="514"/>
      <c r="K47" s="267" t="s">
        <v>373</v>
      </c>
      <c r="L47" s="293"/>
      <c r="M47" s="513"/>
      <c r="N47" s="293"/>
    </row>
    <row r="48" spans="2:14" ht="21" customHeight="1">
      <c r="B48" s="368"/>
      <c r="C48" s="368" t="s">
        <v>294</v>
      </c>
      <c r="D48" s="514"/>
      <c r="E48" s="514"/>
      <c r="F48" s="514"/>
      <c r="G48" s="514"/>
      <c r="H48" s="514"/>
      <c r="I48" s="514"/>
      <c r="J48" s="514"/>
      <c r="K48" s="267" t="s">
        <v>373</v>
      </c>
      <c r="L48" s="293"/>
      <c r="M48" s="513"/>
      <c r="N48" s="293"/>
    </row>
    <row r="49" spans="2:14" ht="21" customHeight="1">
      <c r="B49" s="368"/>
      <c r="C49" s="368" t="s">
        <v>295</v>
      </c>
      <c r="D49" s="514"/>
      <c r="E49" s="514"/>
      <c r="F49" s="514"/>
      <c r="G49" s="514"/>
      <c r="H49" s="514"/>
      <c r="I49" s="514"/>
      <c r="J49" s="514"/>
      <c r="K49" s="267" t="s">
        <v>373</v>
      </c>
      <c r="L49" s="293"/>
      <c r="M49" s="513"/>
      <c r="N49" s="293"/>
    </row>
    <row r="50" spans="2:14">
      <c r="B50" s="368"/>
    </row>
    <row r="51" spans="2:14">
      <c r="B51" s="368"/>
    </row>
    <row r="52" spans="2:14">
      <c r="B52" s="368"/>
    </row>
    <row r="53" spans="2:14">
      <c r="B53" s="368"/>
    </row>
    <row r="54" spans="2:14">
      <c r="B54" s="368"/>
    </row>
    <row r="55" spans="2:14">
      <c r="B55" s="368"/>
    </row>
    <row r="56" spans="2:14">
      <c r="B56" s="368"/>
    </row>
    <row r="57" spans="2:14">
      <c r="B57" s="368"/>
    </row>
    <row r="58" spans="2:14">
      <c r="B58" s="368"/>
    </row>
    <row r="59" spans="2:14">
      <c r="B59" s="368"/>
    </row>
    <row r="60" spans="2:14">
      <c r="B60" s="368"/>
    </row>
    <row r="61" spans="2:14" ht="13.8">
      <c r="B61" s="1387" t="s">
        <v>3164</v>
      </c>
      <c r="C61" s="1387"/>
      <c r="D61" s="1387"/>
      <c r="E61" s="1387"/>
      <c r="F61" s="1387"/>
      <c r="G61" s="1387"/>
      <c r="H61" s="1387"/>
      <c r="I61" s="1387"/>
      <c r="J61" s="1387"/>
      <c r="K61" s="1387"/>
      <c r="L61" s="1387"/>
      <c r="M61" s="1387"/>
      <c r="N61" s="1387"/>
    </row>
    <row r="62" spans="2:14">
      <c r="B62" s="368"/>
    </row>
    <row r="63" spans="2:14">
      <c r="B63" s="368"/>
    </row>
    <row r="64" spans="2:14">
      <c r="B64" s="368"/>
    </row>
    <row r="65" spans="2:2">
      <c r="B65" s="368"/>
    </row>
    <row r="66" spans="2:2">
      <c r="B66" s="368"/>
    </row>
    <row r="67" spans="2:2">
      <c r="B67" s="368"/>
    </row>
    <row r="68" spans="2:2">
      <c r="B68" s="368"/>
    </row>
    <row r="69" spans="2:2">
      <c r="B69" s="368"/>
    </row>
  </sheetData>
  <sheetProtection algorithmName="SHA-512" hashValue="MzmtzLUp5OzQMXEL8VgbS9ydyqKLwYnogOAbhVs61F8hxhAXKMiEOuDjb659KzilaOytzEu35ilEufsare3ekw==" saltValue="/CsB97U8mzDX8m0Al87Liw==" spinCount="100000" sheet="1" objects="1" scenarios="1"/>
  <mergeCells count="13">
    <mergeCell ref="B28:N28"/>
    <mergeCell ref="B3:N3"/>
    <mergeCell ref="B4:N4"/>
    <mergeCell ref="B5:N5"/>
    <mergeCell ref="B6:N6"/>
    <mergeCell ref="C9:E9"/>
    <mergeCell ref="B61:N61"/>
    <mergeCell ref="B29:N29"/>
    <mergeCell ref="D31:E31"/>
    <mergeCell ref="G31:L31"/>
    <mergeCell ref="B40:N40"/>
    <mergeCell ref="D44:E44"/>
    <mergeCell ref="H44:I44"/>
  </mergeCells>
  <pageMargins left="0.25" right="0.25" top="0.5" bottom="0.5" header="0.25" footer="0.25"/>
  <pageSetup paperSize="5" orientation="portrait" r:id="rId1"/>
  <headerFooter alignWithMargins="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E1FB6-9956-4957-934B-E96AB50B2FF8}">
  <sheetPr codeName="Sheet303">
    <tabColor theme="2" tint="-0.249977111117893"/>
  </sheetPr>
  <dimension ref="A2:O36"/>
  <sheetViews>
    <sheetView zoomScaleNormal="100" workbookViewId="0">
      <selection activeCell="J9" sqref="J9"/>
    </sheetView>
  </sheetViews>
  <sheetFormatPr defaultColWidth="9.109375" defaultRowHeight="13.2"/>
  <cols>
    <col min="1" max="1" width="5.6640625" customWidth="1"/>
    <col min="2" max="4" width="4.88671875" customWidth="1"/>
    <col min="5" max="5" width="46.6640625" customWidth="1"/>
    <col min="6" max="6" width="7.6640625" customWidth="1"/>
    <col min="7" max="8" width="16.6640625" customWidth="1"/>
    <col min="9" max="12" width="15.6640625" customWidth="1"/>
    <col min="13" max="13" width="10.44140625" bestFit="1" customWidth="1"/>
  </cols>
  <sheetData>
    <row r="2" spans="1:15" ht="17.399999999999999">
      <c r="B2" s="1186" t="s">
        <v>3527</v>
      </c>
      <c r="C2" s="1186"/>
      <c r="D2" s="1186"/>
      <c r="E2" s="1186"/>
      <c r="F2" s="1186"/>
      <c r="G2" s="1186"/>
      <c r="H2" s="1186"/>
      <c r="I2" s="1186"/>
      <c r="J2" s="1186"/>
      <c r="K2" s="1186"/>
      <c r="L2" s="1186"/>
    </row>
    <row r="5" spans="1:15" ht="13.8" thickBot="1"/>
    <row r="6" spans="1:15" ht="13.8" thickTop="1">
      <c r="B6" s="11"/>
      <c r="C6" s="11"/>
      <c r="D6" s="11"/>
      <c r="E6" s="752"/>
      <c r="F6" s="11"/>
      <c r="G6" s="12"/>
      <c r="H6" s="51"/>
      <c r="I6" s="12"/>
      <c r="J6" s="11"/>
      <c r="K6" s="11"/>
      <c r="L6" s="18"/>
    </row>
    <row r="7" spans="1:15" ht="15.6">
      <c r="B7" s="1174" t="s">
        <v>17</v>
      </c>
      <c r="C7" s="1174"/>
      <c r="D7" s="1174"/>
      <c r="E7" s="1252" t="s">
        <v>413</v>
      </c>
      <c r="F7" s="1214"/>
      <c r="G7" s="13" t="s">
        <v>414</v>
      </c>
      <c r="H7" s="1" t="s">
        <v>442</v>
      </c>
      <c r="I7" s="13" t="s">
        <v>529</v>
      </c>
      <c r="J7" s="1192" t="str">
        <f>"REDUCED  IN  "&amp;IF('KEY INPUTS'!C42="State Fiscal Year","FY  "&amp;'KEY INPUTS'!D33&amp;"",'KEY INPUTS'!D34)&amp;""</f>
        <v>REDUCED  IN  2024</v>
      </c>
      <c r="K7" s="1194"/>
      <c r="L7" s="21" t="s">
        <v>529</v>
      </c>
    </row>
    <row r="8" spans="1:15">
      <c r="E8" s="70"/>
      <c r="G8" s="13" t="s">
        <v>441</v>
      </c>
      <c r="H8" s="1" t="s">
        <v>443</v>
      </c>
      <c r="I8" s="245" t="str">
        <f>IF('KEY INPUTS'!C42 = "State Fiscal Year", 'KEY INPUTS'!F46,'KEY INPUTS'!D46)</f>
        <v>Dec. 31, 2023</v>
      </c>
      <c r="J8" s="13" t="str">
        <f>"By "&amp;IF('KEY INPUTS'!C42="State Fiscal Year","FY "&amp;'KEY INPUTS'!D33&amp;"",'KEY INPUTS'!D34)&amp;""</f>
        <v>By 2024</v>
      </c>
      <c r="K8" s="13" t="s">
        <v>439</v>
      </c>
      <c r="L8" s="244" t="str">
        <f>IF('KEY INPUTS'!C42 = "State Fiscal Year", 'KEY INPUTS'!F47,'KEY INPUTS'!D47)</f>
        <v>Dec. 31, 2024</v>
      </c>
    </row>
    <row r="9" spans="1:15" ht="13.8" thickBot="1">
      <c r="B9" s="10"/>
      <c r="C9" s="10"/>
      <c r="D9" s="10"/>
      <c r="E9" s="17"/>
      <c r="F9" s="10"/>
      <c r="G9" s="16"/>
      <c r="H9" s="29" t="s">
        <v>444</v>
      </c>
      <c r="I9" s="14"/>
      <c r="J9" s="16" t="s">
        <v>534</v>
      </c>
      <c r="K9" s="16" t="s">
        <v>440</v>
      </c>
      <c r="L9" s="19"/>
    </row>
    <row r="10" spans="1:15" ht="21" customHeight="1" thickTop="1">
      <c r="B10" s="1253"/>
      <c r="C10" s="1253"/>
      <c r="D10" s="1254"/>
      <c r="E10" s="441"/>
      <c r="F10" s="421"/>
      <c r="G10" s="442"/>
      <c r="H10" s="442"/>
      <c r="I10" s="443"/>
      <c r="J10" s="443"/>
      <c r="K10" s="443"/>
      <c r="L10" s="990">
        <f>+I10-J10-K10</f>
        <v>0</v>
      </c>
    </row>
    <row r="11" spans="1:15" ht="21" customHeight="1">
      <c r="B11" s="1255"/>
      <c r="C11" s="1156"/>
      <c r="D11" s="1256"/>
      <c r="E11" s="444"/>
      <c r="F11" s="423"/>
      <c r="G11" s="432"/>
      <c r="H11" s="432"/>
      <c r="I11" s="291"/>
      <c r="J11" s="291"/>
      <c r="K11" s="291"/>
      <c r="L11" s="991">
        <f>+I11-J11-K11</f>
        <v>0</v>
      </c>
      <c r="M11" s="204"/>
    </row>
    <row r="12" spans="1:15" ht="21" customHeight="1">
      <c r="B12" s="1255"/>
      <c r="C12" s="1156"/>
      <c r="D12" s="1256"/>
      <c r="E12" s="444"/>
      <c r="F12" s="423"/>
      <c r="G12" s="445"/>
      <c r="H12" s="432"/>
      <c r="I12" s="446"/>
      <c r="J12" s="291"/>
      <c r="K12" s="291"/>
      <c r="L12" s="991">
        <f t="shared" ref="L12:L23" si="0">+I12-J12-K12</f>
        <v>0</v>
      </c>
      <c r="M12" s="204"/>
    </row>
    <row r="13" spans="1:15" ht="21" customHeight="1">
      <c r="B13" s="1156"/>
      <c r="C13" s="1156"/>
      <c r="D13" s="1256"/>
      <c r="E13" s="444"/>
      <c r="F13" s="423"/>
      <c r="G13" s="432"/>
      <c r="H13" s="432"/>
      <c r="I13" s="291"/>
      <c r="J13" s="291"/>
      <c r="K13" s="291"/>
      <c r="L13" s="991">
        <f t="shared" si="0"/>
        <v>0</v>
      </c>
    </row>
    <row r="14" spans="1:15" ht="21" customHeight="1">
      <c r="B14" s="1255"/>
      <c r="C14" s="1156"/>
      <c r="D14" s="1256"/>
      <c r="E14" s="444"/>
      <c r="F14" s="423"/>
      <c r="G14" s="432"/>
      <c r="H14" s="432"/>
      <c r="I14" s="291"/>
      <c r="J14" s="291"/>
      <c r="K14" s="291"/>
      <c r="L14" s="991">
        <f t="shared" si="0"/>
        <v>0</v>
      </c>
      <c r="O14" s="294"/>
    </row>
    <row r="15" spans="1:15" ht="21" customHeight="1">
      <c r="B15" s="1255"/>
      <c r="C15" s="1156"/>
      <c r="D15" s="1256"/>
      <c r="E15" s="444"/>
      <c r="F15" s="423"/>
      <c r="G15" s="445"/>
      <c r="H15" s="432"/>
      <c r="I15" s="446"/>
      <c r="J15" s="291"/>
      <c r="K15" s="291"/>
      <c r="L15" s="991">
        <f t="shared" si="0"/>
        <v>0</v>
      </c>
    </row>
    <row r="16" spans="1:15" ht="21" customHeight="1">
      <c r="A16" s="1195" t="s">
        <v>3528</v>
      </c>
      <c r="B16" s="1156"/>
      <c r="C16" s="1156"/>
      <c r="D16" s="1256"/>
      <c r="E16" s="444"/>
      <c r="F16" s="423"/>
      <c r="G16" s="432"/>
      <c r="H16" s="432"/>
      <c r="I16" s="291"/>
      <c r="J16" s="291"/>
      <c r="K16" s="291"/>
      <c r="L16" s="991">
        <f t="shared" si="0"/>
        <v>0</v>
      </c>
    </row>
    <row r="17" spans="1:12" ht="21" customHeight="1">
      <c r="A17" s="1195"/>
      <c r="B17" s="1156"/>
      <c r="C17" s="1156"/>
      <c r="D17" s="1256"/>
      <c r="E17" s="444"/>
      <c r="F17" s="423"/>
      <c r="G17" s="432"/>
      <c r="H17" s="432"/>
      <c r="I17" s="291"/>
      <c r="J17" s="291"/>
      <c r="K17" s="291"/>
      <c r="L17" s="991">
        <f t="shared" si="0"/>
        <v>0</v>
      </c>
    </row>
    <row r="18" spans="1:12" ht="21" customHeight="1">
      <c r="A18" s="1195"/>
      <c r="B18" s="1156"/>
      <c r="C18" s="1156"/>
      <c r="D18" s="1256"/>
      <c r="E18" s="444"/>
      <c r="F18" s="423"/>
      <c r="G18" s="432"/>
      <c r="H18" s="432"/>
      <c r="I18" s="291"/>
      <c r="J18" s="291"/>
      <c r="K18" s="291"/>
      <c r="L18" s="991">
        <f t="shared" si="0"/>
        <v>0</v>
      </c>
    </row>
    <row r="19" spans="1:12" ht="21" customHeight="1">
      <c r="A19" s="265"/>
      <c r="B19" s="613"/>
      <c r="C19" s="613"/>
      <c r="D19" s="616"/>
      <c r="E19" s="444"/>
      <c r="F19" s="423"/>
      <c r="G19" s="432"/>
      <c r="H19" s="432"/>
      <c r="I19" s="291"/>
      <c r="J19" s="291"/>
      <c r="K19" s="291"/>
      <c r="L19" s="991">
        <f t="shared" si="0"/>
        <v>0</v>
      </c>
    </row>
    <row r="20" spans="1:12" ht="21" customHeight="1">
      <c r="A20" s="265"/>
      <c r="B20" s="613"/>
      <c r="C20" s="613"/>
      <c r="D20" s="616"/>
      <c r="E20" s="444"/>
      <c r="F20" s="423"/>
      <c r="G20" s="432"/>
      <c r="H20" s="432"/>
      <c r="I20" s="291"/>
      <c r="J20" s="291"/>
      <c r="K20" s="291"/>
      <c r="L20" s="991">
        <f t="shared" si="0"/>
        <v>0</v>
      </c>
    </row>
    <row r="21" spans="1:12" ht="21" customHeight="1">
      <c r="B21" s="1156"/>
      <c r="C21" s="1156"/>
      <c r="D21" s="1256"/>
      <c r="E21" s="444"/>
      <c r="F21" s="423"/>
      <c r="G21" s="432"/>
      <c r="H21" s="432"/>
      <c r="I21" s="291"/>
      <c r="J21" s="291"/>
      <c r="K21" s="291"/>
      <c r="L21" s="991">
        <f t="shared" si="0"/>
        <v>0</v>
      </c>
    </row>
    <row r="22" spans="1:12" ht="21" customHeight="1">
      <c r="B22" s="613"/>
      <c r="C22" s="613"/>
      <c r="D22" s="616"/>
      <c r="E22" s="444"/>
      <c r="F22" s="423"/>
      <c r="G22" s="432"/>
      <c r="H22" s="432"/>
      <c r="I22" s="291"/>
      <c r="J22" s="291"/>
      <c r="K22" s="291"/>
      <c r="L22" s="991">
        <f t="shared" si="0"/>
        <v>0</v>
      </c>
    </row>
    <row r="23" spans="1:12" ht="21" customHeight="1">
      <c r="B23" s="1156"/>
      <c r="C23" s="1156"/>
      <c r="D23" s="1256"/>
      <c r="E23" s="444"/>
      <c r="F23" s="423"/>
      <c r="G23" s="432"/>
      <c r="H23" s="432"/>
      <c r="I23" s="291"/>
      <c r="J23" s="291"/>
      <c r="K23" s="291"/>
      <c r="L23" s="991">
        <f t="shared" si="0"/>
        <v>0</v>
      </c>
    </row>
    <row r="24" spans="1:12" ht="21" customHeight="1" thickBot="1">
      <c r="F24" s="16" t="s">
        <v>639</v>
      </c>
      <c r="G24" s="724">
        <f t="shared" ref="G24:L24" si="1">SUM(G10:G23)</f>
        <v>0</v>
      </c>
      <c r="H24" s="724">
        <f t="shared" si="1"/>
        <v>0</v>
      </c>
      <c r="I24" s="724">
        <f t="shared" si="1"/>
        <v>0</v>
      </c>
      <c r="J24" s="724">
        <f t="shared" si="1"/>
        <v>0</v>
      </c>
      <c r="K24" s="724">
        <f t="shared" si="1"/>
        <v>0</v>
      </c>
      <c r="L24" s="640">
        <f t="shared" si="1"/>
        <v>0</v>
      </c>
    </row>
    <row r="25" spans="1:12" ht="12.75" customHeight="1" thickTop="1">
      <c r="I25" s="1"/>
      <c r="J25" s="1"/>
    </row>
    <row r="26" spans="1:12">
      <c r="B26" s="239" t="s">
        <v>3524</v>
      </c>
    </row>
    <row r="27" spans="1:12" ht="13.5" customHeight="1">
      <c r="B27" t="s">
        <v>123</v>
      </c>
    </row>
    <row r="28" spans="1:12" ht="13.5" customHeight="1">
      <c r="B28" s="34"/>
      <c r="J28" s="1164"/>
      <c r="K28" s="1164"/>
    </row>
    <row r="29" spans="1:12">
      <c r="J29" s="1257" t="s">
        <v>124</v>
      </c>
      <c r="K29" s="1257"/>
    </row>
    <row r="35" spans="9:12">
      <c r="L35" s="204">
        <f>+I24-J24-L24</f>
        <v>0</v>
      </c>
    </row>
    <row r="36" spans="9:12">
      <c r="I36" s="204"/>
      <c r="J36" s="204"/>
    </row>
  </sheetData>
  <sheetProtection algorithmName="SHA-512" hashValue="0RG9JTRPYOowRp0kX3icYsnJkilhxayuAro+H4vId0qEpg6nvJS0xVPmaW5TLiKI9KNLXAhNVYXGCK3FKGh1nQ==" saltValue="wrnkkneI6dW+GdtCVNV5IA==" spinCount="100000" sheet="1" objects="1" scenarios="1"/>
  <mergeCells count="18">
    <mergeCell ref="A16:A18"/>
    <mergeCell ref="B16:D16"/>
    <mergeCell ref="B17:D17"/>
    <mergeCell ref="B18:D18"/>
    <mergeCell ref="B2:L2"/>
    <mergeCell ref="B7:D7"/>
    <mergeCell ref="E7:F7"/>
    <mergeCell ref="J7:K7"/>
    <mergeCell ref="B10:D10"/>
    <mergeCell ref="B11:D11"/>
    <mergeCell ref="B21:D21"/>
    <mergeCell ref="B23:D23"/>
    <mergeCell ref="J28:K28"/>
    <mergeCell ref="J29:K29"/>
    <mergeCell ref="B12:D12"/>
    <mergeCell ref="B13:D13"/>
    <mergeCell ref="B14:D14"/>
    <mergeCell ref="B15:D15"/>
  </mergeCells>
  <pageMargins left="0.25" right="0.25" top="0.5" bottom="0.5" header="0.25" footer="0.25"/>
  <pageSetup paperSize="5" orientation="landscape" r:id="rId1"/>
  <headerFooter alignWithMargins="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0105B-4524-43EA-8981-E8C23E6CA27E}">
  <sheetPr codeName="Sheet234">
    <tabColor theme="2" tint="-0.249977111117893"/>
  </sheetPr>
  <dimension ref="B2:U50"/>
  <sheetViews>
    <sheetView zoomScaleNormal="100" zoomScaleSheetLayoutView="80" workbookViewId="0">
      <selection activeCell="V27" sqref="V27"/>
    </sheetView>
  </sheetViews>
  <sheetFormatPr defaultColWidth="8.88671875" defaultRowHeight="13.2"/>
  <cols>
    <col min="1" max="4" width="4.6640625" style="267" customWidth="1"/>
    <col min="5" max="5" width="17.88671875" style="267" customWidth="1"/>
    <col min="6" max="6" width="8.88671875" style="267"/>
    <col min="7" max="7" width="16.6640625" style="267" customWidth="1"/>
    <col min="8" max="8" width="1.6640625" style="267" customWidth="1"/>
    <col min="9" max="9" width="15.6640625" style="267" customWidth="1"/>
    <col min="10" max="10" width="1.6640625" style="267" customWidth="1"/>
    <col min="11" max="11" width="8.6640625" style="267" customWidth="1"/>
    <col min="12" max="12" width="7.6640625" style="267" customWidth="1"/>
    <col min="13" max="15" width="8.88671875" style="267"/>
    <col min="16" max="17" width="10.33203125" style="267" bestFit="1" customWidth="1"/>
    <col min="18" max="16384" width="8.88671875" style="267"/>
  </cols>
  <sheetData>
    <row r="2" spans="2:21" ht="20.399999999999999">
      <c r="B2" s="1363" t="s">
        <v>127</v>
      </c>
      <c r="C2" s="1363"/>
      <c r="D2" s="1363"/>
      <c r="E2" s="1363"/>
      <c r="F2" s="1363"/>
      <c r="G2" s="1363"/>
      <c r="H2" s="1363"/>
      <c r="I2" s="1363"/>
      <c r="J2" s="1363"/>
      <c r="K2" s="1363"/>
      <c r="L2" s="1363"/>
    </row>
    <row r="3" spans="2:21" ht="20.399999999999999">
      <c r="B3" s="1363" t="str">
        <f>" AND  "&amp;IF('KEY INPUTS'!C42="State Fiscal Year","FISCAL  YEAR  "&amp;'KEY INPUTS'!D33+1&amp;"",'KEY INPUTS'!D34+1)&amp;"  DEBT  SERVICE  FOR  BONDS"</f>
        <v xml:space="preserve"> AND  2025  DEBT  SERVICE  FOR  BONDS</v>
      </c>
      <c r="C3" s="1363"/>
      <c r="D3" s="1363"/>
      <c r="E3" s="1363"/>
      <c r="F3" s="1363"/>
      <c r="G3" s="1363"/>
      <c r="H3" s="1363"/>
      <c r="I3" s="1363"/>
      <c r="J3" s="1363"/>
      <c r="K3" s="1363"/>
      <c r="L3" s="1363"/>
    </row>
    <row r="4" spans="2:21" ht="15.6">
      <c r="B4" s="1360" t="str">
        <f>UPPER('KEY INPUTS'!D57)&amp;" UTILITY  ASSESSMENT  BONDS"</f>
        <v xml:space="preserve"> UTILITY  ASSESSMENT  BONDS</v>
      </c>
      <c r="C4" s="1360"/>
      <c r="D4" s="1360"/>
      <c r="E4" s="1360"/>
      <c r="F4" s="1360"/>
      <c r="G4" s="1360"/>
      <c r="H4" s="1360"/>
      <c r="I4" s="1360"/>
      <c r="J4" s="1360"/>
      <c r="K4" s="1360"/>
      <c r="L4" s="1360"/>
    </row>
    <row r="5" spans="2:21" ht="9.75" customHeight="1" thickBot="1">
      <c r="B5" s="383"/>
      <c r="C5" s="383"/>
      <c r="D5" s="383"/>
      <c r="E5" s="383"/>
      <c r="F5" s="383"/>
      <c r="G5" s="383"/>
      <c r="H5" s="383"/>
      <c r="I5" s="383"/>
      <c r="J5" s="383"/>
      <c r="K5" s="383"/>
      <c r="L5" s="383"/>
    </row>
    <row r="6" spans="2:21" ht="27.75" customHeight="1" thickTop="1" thickBot="1">
      <c r="B6" s="364"/>
      <c r="C6" s="364"/>
      <c r="D6" s="364"/>
      <c r="E6" s="364"/>
      <c r="F6" s="364"/>
      <c r="G6" s="304" t="s">
        <v>96</v>
      </c>
      <c r="H6" s="1401" t="s">
        <v>97</v>
      </c>
      <c r="I6" s="1351"/>
      <c r="J6" s="1407" t="str">
        <f>IF('KEY INPUTS'!C42="State Fiscal Year","Fiscal Year "&amp;'KEY INPUTS'!D33+1&amp;"",'KEY INPUTS'!D34+1)&amp;"  Debt Service"</f>
        <v>2025  Debt Service</v>
      </c>
      <c r="K6" s="1407"/>
      <c r="L6" s="1407"/>
      <c r="O6"/>
      <c r="P6"/>
      <c r="Q6"/>
      <c r="R6"/>
      <c r="S6"/>
      <c r="T6"/>
      <c r="U6"/>
    </row>
    <row r="7" spans="2:21" ht="21" customHeight="1" thickTop="1">
      <c r="B7" s="363" t="str">
        <f>'32-Bond Schedule'!B7</f>
        <v>Outstanding - January 1, 2024</v>
      </c>
      <c r="C7" s="313"/>
      <c r="D7" s="313"/>
      <c r="E7" s="313"/>
      <c r="F7" s="313"/>
      <c r="G7" s="801" t="s">
        <v>627</v>
      </c>
      <c r="H7" s="1293"/>
      <c r="I7" s="1294"/>
      <c r="O7"/>
      <c r="P7"/>
      <c r="Q7"/>
      <c r="R7"/>
      <c r="S7"/>
      <c r="T7"/>
      <c r="U7"/>
    </row>
    <row r="8" spans="2:21" ht="21" customHeight="1">
      <c r="B8" s="248" t="s">
        <v>92</v>
      </c>
      <c r="C8" s="248"/>
      <c r="D8" s="248"/>
      <c r="E8" s="248"/>
      <c r="F8" s="248"/>
      <c r="G8" s="804" t="s">
        <v>627</v>
      </c>
      <c r="H8" s="1291"/>
      <c r="I8" s="1292"/>
      <c r="O8" s="294"/>
      <c r="P8"/>
      <c r="Q8"/>
      <c r="R8"/>
      <c r="S8"/>
      <c r="T8"/>
      <c r="U8"/>
    </row>
    <row r="9" spans="2:21" ht="21" customHeight="1">
      <c r="B9" s="248"/>
      <c r="C9" s="248"/>
      <c r="D9" s="248"/>
      <c r="E9" s="248"/>
      <c r="F9" s="248"/>
      <c r="G9" s="804"/>
      <c r="H9" s="912"/>
      <c r="I9" s="842"/>
      <c r="O9"/>
      <c r="P9"/>
      <c r="Q9"/>
      <c r="R9"/>
      <c r="S9"/>
      <c r="T9"/>
      <c r="U9"/>
    </row>
    <row r="10" spans="2:21" ht="21" customHeight="1">
      <c r="B10" s="248" t="s">
        <v>254</v>
      </c>
      <c r="C10" s="248"/>
      <c r="D10" s="248"/>
      <c r="E10" s="248"/>
      <c r="F10" s="248"/>
      <c r="G10" s="450"/>
      <c r="H10" s="1408" t="s">
        <v>627</v>
      </c>
      <c r="I10" s="1409"/>
      <c r="O10"/>
      <c r="P10"/>
      <c r="Q10"/>
      <c r="R10"/>
      <c r="S10"/>
      <c r="T10"/>
      <c r="U10"/>
    </row>
    <row r="11" spans="2:21" ht="21" customHeight="1" thickBot="1">
      <c r="B11" s="248" t="str">
        <f>'32-Bond Schedule'!B11</f>
        <v>Outstanding - December 31, 2024</v>
      </c>
      <c r="C11" s="248"/>
      <c r="D11" s="248"/>
      <c r="E11" s="248"/>
      <c r="F11" s="248"/>
      <c r="G11" s="783">
        <f>+H7+H8-G10</f>
        <v>0</v>
      </c>
      <c r="H11" s="1405" t="s">
        <v>627</v>
      </c>
      <c r="I11" s="1406"/>
      <c r="O11"/>
      <c r="P11"/>
      <c r="Q11"/>
      <c r="R11"/>
      <c r="S11"/>
      <c r="T11"/>
      <c r="U11"/>
    </row>
    <row r="12" spans="2:21" ht="21" customHeight="1" thickBot="1">
      <c r="G12" s="785">
        <f>SUM(G7:G11)</f>
        <v>0</v>
      </c>
      <c r="H12" s="1393">
        <f>SUM(H7:I11)</f>
        <v>0</v>
      </c>
      <c r="I12" s="1394"/>
      <c r="O12"/>
      <c r="P12"/>
      <c r="Q12"/>
      <c r="R12"/>
      <c r="S12"/>
      <c r="T12"/>
      <c r="U12"/>
    </row>
    <row r="13" spans="2:21" ht="21" customHeight="1" thickTop="1">
      <c r="B13" s="333" t="str">
        <f>'49-Utility1'!B13</f>
        <v>2025 Bond Maturities - Assessment Bonds</v>
      </c>
      <c r="C13" s="333"/>
      <c r="D13" s="333"/>
      <c r="E13" s="333"/>
      <c r="F13" s="333"/>
      <c r="G13" s="333"/>
      <c r="H13" s="333"/>
      <c r="I13" s="381"/>
      <c r="J13" s="333" t="s">
        <v>373</v>
      </c>
      <c r="K13" s="1311"/>
      <c r="L13" s="1311"/>
      <c r="O13"/>
      <c r="P13"/>
      <c r="Q13"/>
      <c r="R13"/>
      <c r="S13"/>
      <c r="T13"/>
      <c r="U13"/>
    </row>
    <row r="14" spans="2:21" ht="21" customHeight="1" thickBot="1">
      <c r="B14" s="311" t="str">
        <f>'49-Utility1'!B14</f>
        <v>2025 Interest on Bonds</v>
      </c>
      <c r="C14" s="311"/>
      <c r="D14" s="311"/>
      <c r="E14" s="311"/>
      <c r="F14" s="311"/>
      <c r="G14" s="380"/>
      <c r="H14" s="311" t="s">
        <v>373</v>
      </c>
      <c r="I14" s="456"/>
      <c r="O14"/>
      <c r="P14"/>
      <c r="Q14"/>
      <c r="R14"/>
      <c r="S14"/>
      <c r="T14"/>
      <c r="U14"/>
    </row>
    <row r="15" spans="2:21" ht="16.5" customHeight="1" thickTop="1">
      <c r="B15" s="1402"/>
      <c r="C15" s="1402"/>
      <c r="D15" s="1402"/>
      <c r="E15" s="1402"/>
      <c r="F15" s="1402"/>
      <c r="G15" s="1402"/>
      <c r="H15" s="1402"/>
      <c r="I15" s="1403"/>
      <c r="O15"/>
      <c r="P15"/>
      <c r="Q15"/>
      <c r="R15"/>
      <c r="S15"/>
      <c r="T15"/>
      <c r="U15"/>
    </row>
    <row r="16" spans="2:21" ht="26.25" customHeight="1" thickBot="1">
      <c r="B16" s="1420" t="str">
        <f>UPPER('KEY INPUTS'!D57) &amp;" UTILITY  CAPITAL  BONDS"</f>
        <v xml:space="preserve"> UTILITY  CAPITAL  BONDS</v>
      </c>
      <c r="C16" s="1420"/>
      <c r="D16" s="1420"/>
      <c r="E16" s="1420"/>
      <c r="F16" s="1420"/>
      <c r="G16" s="1420"/>
      <c r="H16" s="1420"/>
      <c r="I16" s="1421"/>
      <c r="O16"/>
      <c r="P16"/>
      <c r="Q16"/>
      <c r="R16"/>
      <c r="S16"/>
      <c r="T16"/>
      <c r="U16"/>
    </row>
    <row r="17" spans="2:21" ht="21" customHeight="1" thickTop="1">
      <c r="B17" s="363" t="str">
        <f>'32-Bond Schedule'!B7</f>
        <v>Outstanding - January 1, 2024</v>
      </c>
      <c r="C17" s="313"/>
      <c r="D17" s="313"/>
      <c r="E17" s="313"/>
      <c r="F17" s="313"/>
      <c r="G17" s="801" t="s">
        <v>627</v>
      </c>
      <c r="H17" s="1293"/>
      <c r="I17" s="1294"/>
      <c r="O17"/>
      <c r="P17"/>
      <c r="Q17"/>
      <c r="R17"/>
      <c r="S17"/>
      <c r="T17"/>
      <c r="U17"/>
    </row>
    <row r="18" spans="2:21" ht="21" customHeight="1">
      <c r="B18" s="248" t="s">
        <v>92</v>
      </c>
      <c r="C18" s="248"/>
      <c r="D18" s="248"/>
      <c r="E18" s="248"/>
      <c r="F18" s="248"/>
      <c r="G18" s="804" t="s">
        <v>627</v>
      </c>
      <c r="H18" s="1291"/>
      <c r="I18" s="1292"/>
      <c r="O18"/>
      <c r="P18"/>
      <c r="Q18"/>
      <c r="R18"/>
      <c r="S18"/>
      <c r="T18"/>
      <c r="U18"/>
    </row>
    <row r="19" spans="2:21" ht="21" customHeight="1">
      <c r="B19" s="248" t="s">
        <v>254</v>
      </c>
      <c r="C19" s="248"/>
      <c r="D19" s="248"/>
      <c r="E19" s="248"/>
      <c r="F19" s="248"/>
      <c r="G19" s="450"/>
      <c r="H19" s="1408" t="s">
        <v>627</v>
      </c>
      <c r="I19" s="1409"/>
      <c r="O19"/>
      <c r="P19"/>
      <c r="Q19"/>
      <c r="R19"/>
      <c r="S19"/>
      <c r="T19"/>
      <c r="U19"/>
    </row>
    <row r="20" spans="2:21" ht="21" customHeight="1">
      <c r="B20" s="248"/>
      <c r="C20" s="248"/>
      <c r="D20" s="248"/>
      <c r="E20" s="248"/>
      <c r="F20" s="248"/>
      <c r="G20" s="533"/>
      <c r="H20" s="1395"/>
      <c r="I20" s="1396"/>
      <c r="O20"/>
      <c r="P20"/>
      <c r="Q20"/>
      <c r="R20"/>
      <c r="S20"/>
      <c r="T20"/>
      <c r="U20"/>
    </row>
    <row r="21" spans="2:21" ht="21" customHeight="1">
      <c r="B21" s="248"/>
      <c r="C21" s="248"/>
      <c r="D21" s="248"/>
      <c r="E21" s="248"/>
      <c r="F21" s="248"/>
      <c r="G21" s="533"/>
      <c r="H21" s="1395"/>
      <c r="I21" s="1396"/>
      <c r="O21"/>
      <c r="P21"/>
      <c r="Q21"/>
      <c r="R21"/>
      <c r="S21"/>
      <c r="T21"/>
      <c r="U21"/>
    </row>
    <row r="22" spans="2:21" ht="21" customHeight="1" thickBot="1">
      <c r="B22" s="248" t="str">
        <f>'32-Bond Schedule'!B22</f>
        <v>Outstanding - December 31, 2024</v>
      </c>
      <c r="C22" s="248"/>
      <c r="D22" s="248"/>
      <c r="E22" s="248"/>
      <c r="F22" s="248"/>
      <c r="G22" s="783">
        <f>+H17+H18-G19-G20-G21+H20+H21</f>
        <v>0</v>
      </c>
      <c r="H22" s="1405" t="s">
        <v>627</v>
      </c>
      <c r="I22" s="1406"/>
      <c r="O22"/>
      <c r="P22"/>
      <c r="Q22"/>
      <c r="R22"/>
      <c r="S22"/>
      <c r="T22"/>
      <c r="U22"/>
    </row>
    <row r="23" spans="2:21" ht="21" customHeight="1" thickBot="1">
      <c r="G23" s="785">
        <f>SUM(G17:G22)</f>
        <v>0</v>
      </c>
      <c r="H23" s="1393">
        <f>SUM(H17:I22)</f>
        <v>0</v>
      </c>
      <c r="I23" s="1394"/>
    </row>
    <row r="24" spans="2:21" ht="21" customHeight="1" thickTop="1">
      <c r="B24" s="333" t="str">
        <f>'49-Utility1'!B24</f>
        <v>2025 Bond Maturities - Capital Bonds</v>
      </c>
      <c r="C24" s="333"/>
      <c r="D24" s="333"/>
      <c r="E24" s="333"/>
      <c r="F24" s="333"/>
      <c r="G24" s="333"/>
      <c r="H24" s="333"/>
      <c r="I24" s="381"/>
      <c r="J24" s="333" t="s">
        <v>373</v>
      </c>
      <c r="K24" s="1311"/>
      <c r="L24" s="1311"/>
    </row>
    <row r="25" spans="2:21" ht="21" customHeight="1" thickBot="1">
      <c r="B25" s="311" t="str">
        <f>'49-Utility1'!B25</f>
        <v>2025 Interest on Bonds</v>
      </c>
      <c r="C25" s="311"/>
      <c r="D25" s="311"/>
      <c r="E25" s="311"/>
      <c r="F25" s="311"/>
      <c r="G25" s="380"/>
      <c r="H25" s="311" t="s">
        <v>373</v>
      </c>
      <c r="I25" s="456"/>
      <c r="J25" s="375"/>
      <c r="K25" s="311"/>
      <c r="L25" s="311" t="s">
        <v>3131</v>
      </c>
    </row>
    <row r="26" spans="2:21" ht="21" customHeight="1" thickTop="1"/>
    <row r="27" spans="2:21" ht="19.5" customHeight="1" thickBot="1">
      <c r="B27" s="1420" t="str">
        <f>"INTEREST  ON  BONDS  -  "&amp;UPPER('KEY INPUTS'!D57)&amp;"  UTILITY  BUDGET"</f>
        <v>INTEREST  ON  BONDS  -    UTILITY  BUDGET</v>
      </c>
      <c r="C27" s="1420"/>
      <c r="D27" s="1420"/>
      <c r="E27" s="1420"/>
      <c r="F27" s="1420"/>
      <c r="G27" s="1420"/>
      <c r="H27" s="1420"/>
      <c r="I27" s="1420"/>
      <c r="J27" s="1420"/>
      <c r="K27" s="1420"/>
      <c r="L27" s="1420"/>
    </row>
    <row r="28" spans="2:21" ht="21" customHeight="1" thickTop="1">
      <c r="B28" s="313" t="str">
        <f>'49-Utility1'!B28</f>
        <v>2025 Interest on Bonds (*Items)</v>
      </c>
      <c r="C28" s="313"/>
      <c r="D28" s="313"/>
      <c r="E28" s="313"/>
      <c r="F28" s="313"/>
      <c r="G28" s="313"/>
      <c r="H28" s="313" t="s">
        <v>373</v>
      </c>
      <c r="I28" s="384">
        <f>+I14+I25</f>
        <v>0</v>
      </c>
      <c r="O28" s="355"/>
      <c r="P28" s="355"/>
      <c r="Q28" s="355"/>
      <c r="R28" s="355"/>
    </row>
    <row r="29" spans="2:21" ht="21" customHeight="1">
      <c r="B29" s="248" t="str">
        <f>'49-Utility1'!B29</f>
        <v>Less: Interest Accrued to 12/31/2024 (Trial Balance)</v>
      </c>
      <c r="C29" s="248"/>
      <c r="D29" s="248"/>
      <c r="E29" s="248"/>
      <c r="F29" s="248"/>
      <c r="G29" s="248"/>
      <c r="H29" s="248" t="s">
        <v>373</v>
      </c>
      <c r="I29" s="517"/>
      <c r="O29" s="355"/>
      <c r="P29" s="355"/>
      <c r="Q29" s="355"/>
      <c r="R29" s="355"/>
    </row>
    <row r="30" spans="2:21" ht="21" customHeight="1">
      <c r="B30" s="248"/>
      <c r="C30" s="248" t="s">
        <v>317</v>
      </c>
      <c r="D30" s="248"/>
      <c r="E30" s="248"/>
      <c r="F30" s="248"/>
      <c r="G30" s="248"/>
      <c r="H30" s="248" t="s">
        <v>373</v>
      </c>
      <c r="I30" s="379">
        <f>+I28-I29</f>
        <v>0</v>
      </c>
      <c r="O30" s="355"/>
      <c r="P30" s="355"/>
      <c r="Q30" s="355"/>
      <c r="R30" s="355"/>
    </row>
    <row r="31" spans="2:21" ht="21" customHeight="1">
      <c r="B31" s="248" t="str">
        <f>'49-Utility1'!B31</f>
        <v>Add: Interest to be Accrued as of 12/31/2025</v>
      </c>
      <c r="C31" s="248"/>
      <c r="D31" s="248"/>
      <c r="E31" s="248"/>
      <c r="F31" s="248"/>
      <c r="G31" s="248"/>
      <c r="H31" s="248" t="s">
        <v>373</v>
      </c>
      <c r="I31" s="517"/>
      <c r="O31" s="355"/>
      <c r="P31" s="355"/>
      <c r="Q31" s="355"/>
      <c r="R31" s="355"/>
    </row>
    <row r="32" spans="2:21" ht="21" customHeight="1">
      <c r="B32" s="248" t="str">
        <f>'49-Utility1'!B32</f>
        <v>Required Appropriation 2025</v>
      </c>
      <c r="C32" s="248"/>
      <c r="D32" s="248"/>
      <c r="E32" s="248"/>
      <c r="F32" s="248"/>
      <c r="G32" s="248"/>
      <c r="H32" s="248"/>
      <c r="I32" s="919"/>
      <c r="J32" s="376" t="s">
        <v>373</v>
      </c>
      <c r="K32" s="1414">
        <f>+I30+I31</f>
        <v>0</v>
      </c>
      <c r="L32" s="1415"/>
      <c r="O32" s="355"/>
      <c r="P32" s="355"/>
      <c r="Q32" s="355"/>
      <c r="R32" s="355"/>
    </row>
    <row r="33" spans="2:12" ht="13.5" customHeight="1">
      <c r="K33" s="378"/>
      <c r="L33" s="302"/>
    </row>
    <row r="34" spans="2:12" ht="13.5" customHeight="1">
      <c r="K34" s="378"/>
      <c r="L34" s="302"/>
    </row>
    <row r="35" spans="2:12" ht="21" customHeight="1" thickBot="1">
      <c r="B35" s="1404" t="str">
        <f>'49-Utility1'!B35</f>
        <v>LIST  OF  BONDS  ISSUED  DURING  2024</v>
      </c>
      <c r="C35" s="1404"/>
      <c r="D35" s="1404"/>
      <c r="E35" s="1404"/>
      <c r="F35" s="1404"/>
      <c r="G35" s="1404"/>
      <c r="H35" s="1404"/>
      <c r="I35" s="1404"/>
      <c r="J35" s="1404"/>
      <c r="K35" s="1404"/>
      <c r="L35" s="1404"/>
    </row>
    <row r="36" spans="2:12" ht="27" customHeight="1" thickTop="1" thickBot="1">
      <c r="B36" s="1350" t="s">
        <v>413</v>
      </c>
      <c r="C36" s="1350"/>
      <c r="D36" s="1350"/>
      <c r="E36" s="1350"/>
      <c r="F36" s="1350"/>
      <c r="G36" s="304" t="str">
        <f>'49-Utility1'!G36</f>
        <v>2025 Maturity</v>
      </c>
      <c r="H36" s="1401" t="s">
        <v>91</v>
      </c>
      <c r="I36" s="1351"/>
      <c r="J36" s="1399" t="s">
        <v>89</v>
      </c>
      <c r="K36" s="1400"/>
      <c r="L36" s="377" t="s">
        <v>90</v>
      </c>
    </row>
    <row r="37" spans="2:12" ht="21" customHeight="1" thickTop="1">
      <c r="B37" s="518"/>
      <c r="C37" s="518"/>
      <c r="D37" s="518"/>
      <c r="E37" s="518"/>
      <c r="F37" s="518"/>
      <c r="G37" s="454"/>
      <c r="H37" s="1293"/>
      <c r="I37" s="1294"/>
      <c r="J37" s="1416"/>
      <c r="K37" s="1417"/>
      <c r="L37" s="671"/>
    </row>
    <row r="38" spans="2:12" ht="21" customHeight="1">
      <c r="B38" s="495"/>
      <c r="C38" s="495"/>
      <c r="D38" s="495"/>
      <c r="E38" s="495"/>
      <c r="F38" s="495"/>
      <c r="G38" s="450"/>
      <c r="H38" s="1291"/>
      <c r="I38" s="1292"/>
      <c r="J38" s="1397"/>
      <c r="K38" s="1398"/>
      <c r="L38" s="670"/>
    </row>
    <row r="39" spans="2:12" ht="21" customHeight="1">
      <c r="B39" s="495"/>
      <c r="C39" s="495"/>
      <c r="D39" s="495"/>
      <c r="E39" s="495"/>
      <c r="F39" s="495"/>
      <c r="G39" s="450"/>
      <c r="H39" s="1291"/>
      <c r="I39" s="1292"/>
      <c r="J39" s="1397"/>
      <c r="K39" s="1398"/>
      <c r="L39" s="670"/>
    </row>
    <row r="40" spans="2:12" ht="21" customHeight="1">
      <c r="B40" s="495"/>
      <c r="C40" s="495"/>
      <c r="D40" s="495"/>
      <c r="E40" s="495"/>
      <c r="F40" s="495"/>
      <c r="G40" s="450"/>
      <c r="H40" s="1291"/>
      <c r="I40" s="1292"/>
      <c r="J40" s="1397"/>
      <c r="K40" s="1398"/>
      <c r="L40" s="670"/>
    </row>
    <row r="41" spans="2:12" ht="21" customHeight="1" thickBot="1">
      <c r="B41" s="311"/>
      <c r="C41" s="311"/>
      <c r="D41" s="311"/>
      <c r="E41" s="311"/>
      <c r="F41" s="310"/>
      <c r="G41" s="785">
        <f>SUM(G37:G40)</f>
        <v>0</v>
      </c>
      <c r="H41" s="1410">
        <f>SUM(H37:I40)</f>
        <v>0</v>
      </c>
      <c r="I41" s="1411"/>
      <c r="J41" s="375"/>
      <c r="K41" s="311"/>
      <c r="L41" s="315"/>
    </row>
    <row r="42" spans="2:12" ht="13.8" thickTop="1">
      <c r="G42" s="347"/>
      <c r="H42" s="347"/>
      <c r="I42" s="347"/>
    </row>
    <row r="50" spans="2:12" ht="13.8">
      <c r="B50" s="1353" t="s">
        <v>3165</v>
      </c>
      <c r="C50" s="1353"/>
      <c r="D50" s="1353"/>
      <c r="E50" s="1353"/>
      <c r="F50" s="1353"/>
      <c r="G50" s="1353"/>
      <c r="H50" s="1353"/>
      <c r="I50" s="1353"/>
      <c r="J50" s="1353"/>
      <c r="K50" s="1353"/>
      <c r="L50" s="1353"/>
    </row>
  </sheetData>
  <sheetProtection algorithmName="SHA-512" hashValue="1M0w+GmTLLrTJFg9MZBQHDw0P/8H2IYfO8Ai6K8va9PhXEdJzpFz5gjSIYQPSmHM1h4FxqCVGRHTrjzuMw1THA==" saltValue="Xmp80dmRii5KO347vlrSPA=="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0:L50"/>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6DA5E-B889-4AD2-A416-9EDBBC1FC724}">
  <sheetPr codeName="Sheet235">
    <tabColor theme="2" tint="-0.249977111117893"/>
  </sheetPr>
  <dimension ref="B2:U51"/>
  <sheetViews>
    <sheetView topLeftCell="A16" zoomScaleNormal="100" zoomScaleSheetLayoutView="80" workbookViewId="0">
      <selection activeCell="G37" sqref="G37"/>
    </sheetView>
  </sheetViews>
  <sheetFormatPr defaultColWidth="9.109375" defaultRowHeight="13.2"/>
  <cols>
    <col min="1" max="3" width="4.6640625" style="267" customWidth="1"/>
    <col min="4" max="4" width="4.5546875" style="267" customWidth="1"/>
    <col min="5" max="5" width="17.88671875" style="267" customWidth="1"/>
    <col min="6" max="6" width="9.109375" style="267"/>
    <col min="7" max="7" width="16.6640625" style="267" customWidth="1"/>
    <col min="8" max="8" width="1.6640625" style="267" customWidth="1"/>
    <col min="9" max="9" width="15.6640625" style="267" customWidth="1"/>
    <col min="10" max="10" width="1.6640625" style="267" customWidth="1"/>
    <col min="11" max="11" width="8.6640625" style="267" customWidth="1"/>
    <col min="12" max="12" width="7.6640625" style="267" customWidth="1"/>
    <col min="13" max="16" width="9.109375" style="267"/>
    <col min="17" max="17" width="11.109375" style="267" bestFit="1" customWidth="1"/>
    <col min="18" max="18" width="14.44140625" style="267" customWidth="1"/>
    <col min="19" max="16384" width="9.109375" style="267"/>
  </cols>
  <sheetData>
    <row r="2" spans="2:21" ht="20.399999999999999">
      <c r="B2" s="1363" t="s">
        <v>480</v>
      </c>
      <c r="C2" s="1363"/>
      <c r="D2" s="1363"/>
      <c r="E2" s="1363"/>
      <c r="F2" s="1363"/>
      <c r="G2" s="1363"/>
      <c r="H2" s="1363"/>
      <c r="I2" s="1363"/>
      <c r="J2" s="1363"/>
      <c r="K2" s="1363"/>
      <c r="L2" s="1363"/>
    </row>
    <row r="3" spans="2:21" ht="21" thickBot="1">
      <c r="B3" s="1363" t="str">
        <f>" AND  "&amp;IF('KEY INPUTS'!C42="State Fiscal Year","FISCAL  YEAR  "&amp;'KEY INPUTS'!D33+1&amp;"",'KEY INPUTS'!D34+1)&amp;"  DEBT  SERVICE  FOR  LOANS"</f>
        <v xml:space="preserve"> AND  2025  DEBT  SERVICE  FOR  LOANS</v>
      </c>
      <c r="C3" s="1363"/>
      <c r="D3" s="1363"/>
      <c r="E3" s="1363"/>
      <c r="F3" s="1363"/>
      <c r="G3" s="1363"/>
      <c r="H3" s="1363"/>
      <c r="I3" s="1363"/>
      <c r="J3" s="1363"/>
      <c r="K3" s="1363"/>
      <c r="L3" s="1363"/>
    </row>
    <row r="4" spans="2:21" ht="16.2" thickBot="1">
      <c r="B4" s="1360" t="str">
        <f>UPPER('KEY INPUTS'!D$57)&amp;" UTILITY "&amp;IF(R4&lt;&gt;"",(UPPER(R4)),"")&amp;" LOAN"</f>
        <v xml:space="preserve"> UTILITY  LOAN</v>
      </c>
      <c r="C4" s="1360"/>
      <c r="D4" s="1360"/>
      <c r="E4" s="1360"/>
      <c r="F4" s="1360"/>
      <c r="G4" s="1360"/>
      <c r="H4" s="1360"/>
      <c r="I4" s="1360"/>
      <c r="J4" s="1360"/>
      <c r="K4" s="1360"/>
      <c r="L4" s="1360"/>
      <c r="Q4" s="1056" t="s">
        <v>3576</v>
      </c>
      <c r="R4" s="1057"/>
    </row>
    <row r="5" spans="2:21" ht="9.75" customHeight="1" thickBot="1">
      <c r="B5" s="383"/>
      <c r="C5" s="383"/>
      <c r="D5" s="383"/>
      <c r="E5" s="383"/>
      <c r="F5" s="383"/>
      <c r="G5" s="383"/>
      <c r="H5" s="383"/>
      <c r="I5" s="383"/>
      <c r="J5" s="383"/>
      <c r="K5" s="383"/>
      <c r="L5" s="383"/>
    </row>
    <row r="6" spans="2:21" ht="27.75" customHeight="1" thickTop="1" thickBot="1">
      <c r="B6" s="364"/>
      <c r="C6" s="364"/>
      <c r="D6" s="364"/>
      <c r="E6" s="364"/>
      <c r="F6" s="364"/>
      <c r="G6" s="304" t="s">
        <v>96</v>
      </c>
      <c r="H6" s="1401" t="s">
        <v>97</v>
      </c>
      <c r="I6" s="1351"/>
      <c r="J6" s="1407" t="str">
        <f>IF('KEY INPUTS'!C42="State Fiscal Year","Fiscal Year "&amp;'KEY INPUTS'!D33+1&amp;"",'KEY INPUTS'!D34+1)&amp;"  Debt Service"</f>
        <v>2025  Debt Service</v>
      </c>
      <c r="K6" s="1407"/>
      <c r="L6" s="1407"/>
      <c r="O6"/>
      <c r="P6"/>
      <c r="Q6"/>
      <c r="R6"/>
      <c r="S6"/>
      <c r="T6"/>
      <c r="U6"/>
    </row>
    <row r="7" spans="2:21" ht="21" customHeight="1" thickTop="1">
      <c r="B7" s="363" t="str">
        <f>'49a-Utility2'!B7</f>
        <v>Outstanding - January 1, 2024</v>
      </c>
      <c r="C7" s="313"/>
      <c r="D7" s="313"/>
      <c r="E7" s="313"/>
      <c r="F7" s="313"/>
      <c r="G7" s="757" t="s">
        <v>627</v>
      </c>
      <c r="H7" s="1293"/>
      <c r="I7" s="1294"/>
      <c r="O7"/>
      <c r="P7"/>
      <c r="Q7"/>
      <c r="R7"/>
      <c r="S7"/>
      <c r="T7"/>
      <c r="U7"/>
    </row>
    <row r="8" spans="2:21" ht="21" customHeight="1">
      <c r="B8" s="248" t="s">
        <v>92</v>
      </c>
      <c r="C8" s="248"/>
      <c r="D8" s="248"/>
      <c r="E8" s="248"/>
      <c r="F8" s="248"/>
      <c r="G8" s="702" t="s">
        <v>627</v>
      </c>
      <c r="H8" s="1291"/>
      <c r="I8" s="1292"/>
      <c r="O8" s="294"/>
      <c r="P8"/>
      <c r="Q8"/>
      <c r="R8"/>
      <c r="S8"/>
      <c r="T8"/>
      <c r="U8"/>
    </row>
    <row r="9" spans="2:21" ht="21" customHeight="1">
      <c r="B9" s="248"/>
      <c r="C9" s="248"/>
      <c r="D9" s="248"/>
      <c r="E9" s="248"/>
      <c r="F9" s="248"/>
      <c r="G9" s="702"/>
      <c r="H9" s="914"/>
      <c r="I9" s="915"/>
      <c r="O9"/>
      <c r="P9"/>
      <c r="Q9"/>
      <c r="R9"/>
      <c r="S9"/>
      <c r="T9"/>
      <c r="U9"/>
    </row>
    <row r="10" spans="2:21" ht="21" customHeight="1">
      <c r="B10" s="248" t="s">
        <v>254</v>
      </c>
      <c r="C10" s="248"/>
      <c r="D10" s="248"/>
      <c r="E10" s="248"/>
      <c r="F10" s="248"/>
      <c r="G10" s="450"/>
      <c r="H10" s="1306" t="s">
        <v>627</v>
      </c>
      <c r="I10" s="1307"/>
      <c r="O10"/>
      <c r="P10"/>
      <c r="Q10"/>
      <c r="R10"/>
      <c r="S10"/>
      <c r="T10"/>
      <c r="U10"/>
    </row>
    <row r="11" spans="2:21" ht="21" customHeight="1" thickBot="1">
      <c r="B11" s="248" t="str">
        <f>'49a-Utility2'!B11</f>
        <v>Outstanding - December 31, 2024</v>
      </c>
      <c r="C11" s="248"/>
      <c r="D11" s="248"/>
      <c r="E11" s="248"/>
      <c r="F11" s="248"/>
      <c r="G11" s="758">
        <f>+H7+H8-G10</f>
        <v>0</v>
      </c>
      <c r="H11" s="1300" t="s">
        <v>627</v>
      </c>
      <c r="I11" s="1301"/>
      <c r="O11"/>
      <c r="P11"/>
      <c r="Q11"/>
      <c r="R11"/>
      <c r="S11"/>
      <c r="T11"/>
      <c r="U11"/>
    </row>
    <row r="12" spans="2:21" ht="21" customHeight="1" thickBot="1">
      <c r="G12" s="755">
        <f>SUM(G7:G11)</f>
        <v>0</v>
      </c>
      <c r="H12" s="1304">
        <f>SUM(H7:I11)</f>
        <v>0</v>
      </c>
      <c r="I12" s="1305"/>
      <c r="O12"/>
      <c r="P12"/>
      <c r="Q12"/>
      <c r="R12"/>
      <c r="S12"/>
      <c r="T12"/>
      <c r="U12"/>
    </row>
    <row r="13" spans="2:21" ht="21" customHeight="1" thickTop="1">
      <c r="B13" s="333" t="str">
        <f>'49a-Utility3'!B13</f>
        <v>2025 Loan Maturities</v>
      </c>
      <c r="C13" s="333"/>
      <c r="D13" s="333"/>
      <c r="E13" s="333"/>
      <c r="F13" s="333"/>
      <c r="G13" s="333"/>
      <c r="H13" s="333"/>
      <c r="I13" s="381"/>
      <c r="J13" s="333" t="s">
        <v>373</v>
      </c>
      <c r="K13" s="1311"/>
      <c r="L13" s="1311"/>
      <c r="O13"/>
      <c r="P13"/>
      <c r="Q13"/>
      <c r="R13"/>
      <c r="S13"/>
      <c r="T13"/>
      <c r="U13"/>
    </row>
    <row r="14" spans="2:21" ht="21" customHeight="1" thickBot="1">
      <c r="B14" s="333" t="str">
        <f>'49a-Utility3'!B14</f>
        <v>2025 Interest on Loans</v>
      </c>
      <c r="C14" s="311"/>
      <c r="D14" s="311"/>
      <c r="E14" s="311"/>
      <c r="F14" s="311"/>
      <c r="G14" s="380"/>
      <c r="H14" s="311" t="s">
        <v>373</v>
      </c>
      <c r="I14" s="519"/>
      <c r="O14"/>
      <c r="P14"/>
      <c r="Q14"/>
      <c r="R14"/>
      <c r="S14"/>
      <c r="T14"/>
      <c r="U14"/>
    </row>
    <row r="15" spans="2:21" ht="16.5" customHeight="1" thickTop="1" thickBot="1">
      <c r="B15" s="1402"/>
      <c r="C15" s="1402"/>
      <c r="D15" s="1402"/>
      <c r="E15" s="1402"/>
      <c r="F15" s="1402"/>
      <c r="G15" s="1402"/>
      <c r="H15" s="1402"/>
      <c r="I15" s="1403"/>
      <c r="O15"/>
      <c r="P15"/>
      <c r="Q15"/>
      <c r="R15"/>
      <c r="S15"/>
      <c r="T15"/>
      <c r="U15"/>
    </row>
    <row r="16" spans="2:21" ht="16.2" thickBot="1">
      <c r="B16" s="1420" t="str">
        <f>UPPER('KEY INPUTS'!D$57)&amp;" UTILITY "&amp;IF(R16&lt;&gt;"",(UPPER(R16)),"")&amp;" LOAN"</f>
        <v xml:space="preserve"> UTILITY  LOAN</v>
      </c>
      <c r="C16" s="1420"/>
      <c r="D16" s="1420"/>
      <c r="E16" s="1420"/>
      <c r="F16" s="1420"/>
      <c r="G16" s="1420"/>
      <c r="H16" s="1420"/>
      <c r="I16" s="1421"/>
      <c r="O16"/>
      <c r="P16"/>
      <c r="Q16" s="1056" t="s">
        <v>3576</v>
      </c>
      <c r="R16" s="1057"/>
      <c r="S16"/>
      <c r="T16"/>
      <c r="U16"/>
    </row>
    <row r="17" spans="2:21" ht="21" customHeight="1" thickTop="1">
      <c r="B17" s="363" t="str">
        <f>'49a-Utility2'!B7</f>
        <v>Outstanding - January 1, 2024</v>
      </c>
      <c r="C17" s="313"/>
      <c r="D17" s="313"/>
      <c r="E17" s="313"/>
      <c r="F17" s="313"/>
      <c r="G17" s="757" t="s">
        <v>627</v>
      </c>
      <c r="H17" s="1293"/>
      <c r="I17" s="1294"/>
      <c r="O17"/>
      <c r="P17"/>
      <c r="Q17"/>
      <c r="R17"/>
      <c r="S17"/>
      <c r="T17"/>
      <c r="U17"/>
    </row>
    <row r="18" spans="2:21" ht="21" customHeight="1">
      <c r="B18" s="248" t="s">
        <v>92</v>
      </c>
      <c r="C18" s="248"/>
      <c r="D18" s="248"/>
      <c r="E18" s="248"/>
      <c r="F18" s="248"/>
      <c r="G18" s="702" t="s">
        <v>627</v>
      </c>
      <c r="H18" s="1291"/>
      <c r="I18" s="1292"/>
      <c r="O18"/>
      <c r="P18"/>
      <c r="Q18"/>
      <c r="R18"/>
      <c r="S18"/>
      <c r="T18"/>
      <c r="U18"/>
    </row>
    <row r="19" spans="2:21" ht="21" customHeight="1">
      <c r="B19" s="248" t="s">
        <v>254</v>
      </c>
      <c r="C19" s="248"/>
      <c r="D19" s="248"/>
      <c r="E19" s="248"/>
      <c r="F19" s="248"/>
      <c r="G19" s="450"/>
      <c r="H19" s="1306" t="s">
        <v>627</v>
      </c>
      <c r="I19" s="1307"/>
      <c r="O19"/>
      <c r="P19"/>
      <c r="Q19"/>
      <c r="R19"/>
      <c r="S19"/>
      <c r="T19"/>
      <c r="U19"/>
    </row>
    <row r="20" spans="2:21" ht="21" customHeight="1">
      <c r="B20" s="248"/>
      <c r="C20" s="248"/>
      <c r="D20" s="248"/>
      <c r="E20" s="248"/>
      <c r="F20" s="248"/>
      <c r="G20" s="767"/>
      <c r="H20" s="1308"/>
      <c r="I20" s="1309"/>
      <c r="O20"/>
      <c r="P20"/>
      <c r="Q20"/>
      <c r="R20"/>
      <c r="S20"/>
      <c r="T20"/>
      <c r="U20"/>
    </row>
    <row r="21" spans="2:21" ht="21" customHeight="1">
      <c r="B21" s="248"/>
      <c r="C21" s="248"/>
      <c r="D21" s="248"/>
      <c r="E21" s="248"/>
      <c r="F21" s="248"/>
      <c r="G21" s="767"/>
      <c r="H21" s="1308"/>
      <c r="I21" s="1309"/>
      <c r="O21"/>
      <c r="P21"/>
      <c r="Q21"/>
      <c r="R21"/>
      <c r="S21"/>
      <c r="T21"/>
      <c r="U21"/>
    </row>
    <row r="22" spans="2:21" ht="21" customHeight="1" thickBot="1">
      <c r="B22" s="248" t="str">
        <f>'49a-Utility2'!B11</f>
        <v>Outstanding - December 31, 2024</v>
      </c>
      <c r="C22" s="248"/>
      <c r="D22" s="248"/>
      <c r="E22" s="248"/>
      <c r="F22" s="248"/>
      <c r="G22" s="758">
        <f>+H17+H18-G19-G20-G21+H20+H21</f>
        <v>0</v>
      </c>
      <c r="H22" s="1300" t="s">
        <v>627</v>
      </c>
      <c r="I22" s="1301"/>
      <c r="O22"/>
      <c r="P22"/>
      <c r="Q22"/>
      <c r="R22"/>
      <c r="S22"/>
      <c r="T22"/>
      <c r="U22"/>
    </row>
    <row r="23" spans="2:21" ht="21" customHeight="1" thickBot="1">
      <c r="G23" s="755">
        <f>SUM(G17:G22)</f>
        <v>0</v>
      </c>
      <c r="H23" s="1304">
        <f>SUM(H17:I22)</f>
        <v>0</v>
      </c>
      <c r="I23" s="1305"/>
    </row>
    <row r="24" spans="2:21" ht="21" customHeight="1" thickTop="1">
      <c r="B24" s="333" t="str">
        <f>B13</f>
        <v>2025 Loan Maturities</v>
      </c>
      <c r="C24" s="333"/>
      <c r="D24" s="333"/>
      <c r="E24" s="333"/>
      <c r="F24" s="333"/>
      <c r="G24" s="333"/>
      <c r="H24" s="333"/>
      <c r="I24" s="381"/>
      <c r="J24" s="333" t="s">
        <v>373</v>
      </c>
      <c r="K24" s="1311"/>
      <c r="L24" s="1311"/>
    </row>
    <row r="25" spans="2:21" ht="21" customHeight="1" thickBot="1">
      <c r="B25" s="311" t="str">
        <f>B14</f>
        <v>2025 Interest on Loans</v>
      </c>
      <c r="C25" s="311"/>
      <c r="D25" s="311"/>
      <c r="E25" s="311"/>
      <c r="F25" s="311"/>
      <c r="G25" s="380"/>
      <c r="H25" s="311" t="s">
        <v>373</v>
      </c>
      <c r="I25" s="456"/>
      <c r="J25" s="375"/>
      <c r="K25" s="311"/>
      <c r="L25" s="311"/>
    </row>
    <row r="26" spans="2:21" ht="21" customHeight="1" thickTop="1"/>
    <row r="27" spans="2:21" ht="19.5" customHeight="1" thickBot="1">
      <c r="B27" s="1420" t="str">
        <f>"INTEREST  ON  LOANS  - "&amp;UPPER('KEY INPUTS'!D57)&amp;"  UTILITY  BUDGET"</f>
        <v>INTEREST  ON  LOANS  -   UTILITY  BUDGET</v>
      </c>
      <c r="C27" s="1420"/>
      <c r="D27" s="1420"/>
      <c r="E27" s="1420"/>
      <c r="F27" s="1420"/>
      <c r="G27" s="1420"/>
      <c r="H27" s="1420"/>
      <c r="I27" s="1420"/>
      <c r="J27" s="1420"/>
      <c r="K27" s="1420"/>
      <c r="L27" s="1420"/>
    </row>
    <row r="28" spans="2:21" ht="21" customHeight="1" thickTop="1">
      <c r="B28" s="313" t="str">
        <f>'49a-Utility1'!B28</f>
        <v>2025 Interest on Loans (*Items)</v>
      </c>
      <c r="C28" s="313"/>
      <c r="D28" s="313"/>
      <c r="E28" s="313"/>
      <c r="F28" s="313"/>
      <c r="G28" s="313"/>
      <c r="H28" s="313" t="s">
        <v>373</v>
      </c>
      <c r="I28" s="384">
        <f>+I25+I14</f>
        <v>0</v>
      </c>
    </row>
    <row r="29" spans="2:21" ht="21" customHeight="1">
      <c r="B29" s="248" t="str">
        <f>'49a-Utility1'!B29</f>
        <v>Less: Interest Accrued to 12/31/2024 (Trial Balance)</v>
      </c>
      <c r="C29" s="248"/>
      <c r="D29" s="248"/>
      <c r="E29" s="248"/>
      <c r="F29" s="248"/>
      <c r="G29" s="248"/>
      <c r="H29" s="248" t="s">
        <v>373</v>
      </c>
      <c r="I29" s="449"/>
    </row>
    <row r="30" spans="2:21" ht="21" customHeight="1">
      <c r="B30" s="248"/>
      <c r="C30" s="248" t="s">
        <v>317</v>
      </c>
      <c r="D30" s="248"/>
      <c r="E30" s="248"/>
      <c r="F30" s="248"/>
      <c r="G30" s="248"/>
      <c r="H30" s="248" t="s">
        <v>373</v>
      </c>
      <c r="I30" s="379">
        <f>+I28-I29</f>
        <v>0</v>
      </c>
    </row>
    <row r="31" spans="2:21" ht="21" customHeight="1">
      <c r="B31" s="248" t="str">
        <f>'49a-Utility1'!B31</f>
        <v>Add: Interest to be Accrued as of 12/31/2025</v>
      </c>
      <c r="C31" s="248"/>
      <c r="D31" s="248"/>
      <c r="E31" s="248"/>
      <c r="F31" s="248"/>
      <c r="G31" s="248"/>
      <c r="H31" s="248" t="s">
        <v>373</v>
      </c>
      <c r="I31" s="449"/>
    </row>
    <row r="32" spans="2:21" ht="21" customHeight="1">
      <c r="B32" s="248" t="str">
        <f>'49a-Utility1'!B32</f>
        <v>Required Appropriation 2025</v>
      </c>
      <c r="C32" s="248"/>
      <c r="D32" s="248"/>
      <c r="E32" s="248"/>
      <c r="F32" s="248"/>
      <c r="G32" s="248"/>
      <c r="H32" s="248"/>
      <c r="I32" s="925"/>
      <c r="J32" s="376" t="s">
        <v>373</v>
      </c>
      <c r="K32" s="1414">
        <f>+I30+I31</f>
        <v>0</v>
      </c>
      <c r="L32" s="1415"/>
    </row>
    <row r="33" spans="2:12" ht="13.5" customHeight="1">
      <c r="K33" s="378"/>
      <c r="L33" s="302"/>
    </row>
    <row r="34" spans="2:12" ht="13.5" customHeight="1">
      <c r="K34" s="378"/>
      <c r="L34" s="302"/>
    </row>
    <row r="35" spans="2:12" ht="21" customHeight="1" thickBot="1">
      <c r="B35" s="1404" t="str">
        <f>'49-Utility1'!B35</f>
        <v>LIST  OF  BONDS  ISSUED  DURING  2024</v>
      </c>
      <c r="C35" s="1404"/>
      <c r="D35" s="1404"/>
      <c r="E35" s="1404"/>
      <c r="F35" s="1404"/>
      <c r="G35" s="1404"/>
      <c r="H35" s="1404"/>
      <c r="I35" s="1404"/>
      <c r="J35" s="1404"/>
      <c r="K35" s="1404"/>
      <c r="L35" s="1404"/>
    </row>
    <row r="36" spans="2:12" ht="27" customHeight="1" thickTop="1" thickBot="1">
      <c r="B36" s="1350" t="s">
        <v>413</v>
      </c>
      <c r="C36" s="1350"/>
      <c r="D36" s="1350"/>
      <c r="E36" s="1350"/>
      <c r="F36" s="1350"/>
      <c r="G36" s="304" t="str">
        <f>'49a-Utility2'!G36</f>
        <v>2025 Maturity</v>
      </c>
      <c r="H36" s="1401" t="s">
        <v>91</v>
      </c>
      <c r="I36" s="1351"/>
      <c r="J36" s="1399" t="s">
        <v>89</v>
      </c>
      <c r="K36" s="1400"/>
      <c r="L36" s="377" t="s">
        <v>90</v>
      </c>
    </row>
    <row r="37" spans="2:12" ht="21" customHeight="1" thickTop="1">
      <c r="B37" s="518"/>
      <c r="C37" s="518"/>
      <c r="D37" s="518"/>
      <c r="E37" s="518"/>
      <c r="F37" s="518"/>
      <c r="G37" s="454"/>
      <c r="H37" s="1293"/>
      <c r="I37" s="1294"/>
      <c r="J37" s="1422"/>
      <c r="K37" s="1417"/>
      <c r="L37" s="669"/>
    </row>
    <row r="38" spans="2:12" ht="21" customHeight="1">
      <c r="B38" s="495"/>
      <c r="C38" s="495"/>
      <c r="D38" s="495"/>
      <c r="E38" s="495"/>
      <c r="F38" s="495"/>
      <c r="G38" s="450"/>
      <c r="H38" s="1291"/>
      <c r="I38" s="1292"/>
      <c r="J38" s="1397"/>
      <c r="K38" s="1398"/>
      <c r="L38" s="670"/>
    </row>
    <row r="39" spans="2:12" ht="21" customHeight="1">
      <c r="B39" s="495"/>
      <c r="C39" s="495"/>
      <c r="D39" s="495"/>
      <c r="E39" s="495"/>
      <c r="F39" s="495"/>
      <c r="G39" s="450"/>
      <c r="H39" s="1291"/>
      <c r="I39" s="1292"/>
      <c r="J39" s="1397"/>
      <c r="K39" s="1398"/>
      <c r="L39" s="670"/>
    </row>
    <row r="40" spans="2:12" ht="21" customHeight="1">
      <c r="B40" s="495"/>
      <c r="C40" s="495"/>
      <c r="D40" s="495"/>
      <c r="E40" s="495"/>
      <c r="F40" s="495"/>
      <c r="G40" s="450"/>
      <c r="H40" s="1291"/>
      <c r="I40" s="1292"/>
      <c r="J40" s="1397"/>
      <c r="K40" s="1398"/>
      <c r="L40" s="670"/>
    </row>
    <row r="41" spans="2:12" ht="21" customHeight="1" thickBot="1">
      <c r="B41" s="311"/>
      <c r="C41" s="311"/>
      <c r="D41" s="311"/>
      <c r="E41" s="311"/>
      <c r="F41" s="310"/>
      <c r="G41" s="755">
        <f>SUM(G37:G40)</f>
        <v>0</v>
      </c>
      <c r="H41" s="1289">
        <f>SUM(H37:I40)</f>
        <v>0</v>
      </c>
      <c r="I41" s="1290"/>
      <c r="J41" s="375"/>
      <c r="K41" s="311"/>
      <c r="L41" s="315"/>
    </row>
    <row r="42" spans="2:12" ht="13.8" thickTop="1">
      <c r="G42" s="347"/>
      <c r="H42" s="347"/>
      <c r="I42" s="347"/>
    </row>
    <row r="51" spans="2:12" ht="13.8">
      <c r="B51" s="1353" t="s">
        <v>3166</v>
      </c>
      <c r="C51" s="1353"/>
      <c r="D51" s="1353"/>
      <c r="E51" s="1353"/>
      <c r="F51" s="1353"/>
      <c r="G51" s="1353"/>
      <c r="H51" s="1353"/>
      <c r="I51" s="1353"/>
      <c r="J51" s="1353"/>
      <c r="K51" s="1353"/>
      <c r="L51" s="1353"/>
    </row>
  </sheetData>
  <sheetProtection algorithmName="SHA-512" hashValue="FJ5YQPzgq7DXb3yY5Bit5oaD9fssT/m+YgQVNcu6VGMRQ4ed6KtbbDbzAbuNQD+0WVtjcikhF8wL1cx8fJBZ3Q==" saltValue="ZY/PJvkMrFRHAWXxxx6WKw=="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1:L51"/>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9C780-EB19-4784-B1E6-218CC9C5BD4D}">
  <sheetPr codeName="Sheet236">
    <tabColor theme="2" tint="-0.249977111117893"/>
  </sheetPr>
  <dimension ref="B2:U51"/>
  <sheetViews>
    <sheetView topLeftCell="A16" zoomScaleNormal="100" zoomScaleSheetLayoutView="80" workbookViewId="0">
      <selection activeCell="G37" sqref="G37"/>
    </sheetView>
  </sheetViews>
  <sheetFormatPr defaultColWidth="9.109375" defaultRowHeight="13.2"/>
  <cols>
    <col min="1" max="3" width="4.6640625" style="267" customWidth="1"/>
    <col min="4" max="4" width="4.5546875" style="267" customWidth="1"/>
    <col min="5" max="5" width="17.88671875" style="267" customWidth="1"/>
    <col min="6" max="6" width="9.109375" style="267"/>
    <col min="7" max="7" width="16.6640625" style="267" customWidth="1"/>
    <col min="8" max="8" width="1.6640625" style="267" customWidth="1"/>
    <col min="9" max="9" width="15.6640625" style="267" customWidth="1"/>
    <col min="10" max="10" width="1.6640625" style="267" customWidth="1"/>
    <col min="11" max="11" width="8.6640625" style="267" customWidth="1"/>
    <col min="12" max="12" width="7.6640625" style="267" customWidth="1"/>
    <col min="13" max="16" width="9.109375" style="267"/>
    <col min="17" max="17" width="11.109375" style="267" bestFit="1" customWidth="1"/>
    <col min="18" max="18" width="14.44140625" style="267" customWidth="1"/>
    <col min="19" max="16384" width="9.109375" style="267"/>
  </cols>
  <sheetData>
    <row r="2" spans="2:21" ht="20.399999999999999">
      <c r="B2" s="1363" t="s">
        <v>480</v>
      </c>
      <c r="C2" s="1363"/>
      <c r="D2" s="1363"/>
      <c r="E2" s="1363"/>
      <c r="F2" s="1363"/>
      <c r="G2" s="1363"/>
      <c r="H2" s="1363"/>
      <c r="I2" s="1363"/>
      <c r="J2" s="1363"/>
      <c r="K2" s="1363"/>
      <c r="L2" s="1363"/>
    </row>
    <row r="3" spans="2:21" ht="21" thickBot="1">
      <c r="B3" s="1363" t="str">
        <f>" AND  "&amp;IF('KEY INPUTS'!C42="State Fiscal Year","FISCAL  YEAR  "&amp;'KEY INPUTS'!D33+1&amp;"",'KEY INPUTS'!D34+1)&amp;"  DEBT  SERVICE  FOR  LOANS"</f>
        <v xml:space="preserve"> AND  2025  DEBT  SERVICE  FOR  LOANS</v>
      </c>
      <c r="C3" s="1363"/>
      <c r="D3" s="1363"/>
      <c r="E3" s="1363"/>
      <c r="F3" s="1363"/>
      <c r="G3" s="1363"/>
      <c r="H3" s="1363"/>
      <c r="I3" s="1363"/>
      <c r="J3" s="1363"/>
      <c r="K3" s="1363"/>
      <c r="L3" s="1363"/>
    </row>
    <row r="4" spans="2:21" ht="16.2" thickBot="1">
      <c r="B4" s="1360" t="str">
        <f>UPPER('KEY INPUTS'!D$57)&amp;" UTILITY "&amp;IF(R4&lt;&gt;"",(UPPER(R4)),"")&amp;" LOAN"</f>
        <v xml:space="preserve"> UTILITY  LOAN</v>
      </c>
      <c r="C4" s="1360"/>
      <c r="D4" s="1360"/>
      <c r="E4" s="1360"/>
      <c r="F4" s="1360"/>
      <c r="G4" s="1360"/>
      <c r="H4" s="1360"/>
      <c r="I4" s="1360"/>
      <c r="J4" s="1360"/>
      <c r="K4" s="1360"/>
      <c r="L4" s="1360"/>
      <c r="Q4" s="1056" t="s">
        <v>3576</v>
      </c>
      <c r="R4" s="1057"/>
    </row>
    <row r="5" spans="2:21" ht="9.75" customHeight="1" thickBot="1">
      <c r="B5" s="383"/>
      <c r="C5" s="383"/>
      <c r="D5" s="383"/>
      <c r="E5" s="383"/>
      <c r="F5" s="383"/>
      <c r="G5" s="383"/>
      <c r="H5" s="383"/>
      <c r="I5" s="383"/>
      <c r="J5" s="383"/>
      <c r="K5" s="383"/>
      <c r="L5" s="383"/>
    </row>
    <row r="6" spans="2:21" ht="27.75" customHeight="1" thickTop="1" thickBot="1">
      <c r="B6" s="364"/>
      <c r="C6" s="364"/>
      <c r="D6" s="364"/>
      <c r="E6" s="364"/>
      <c r="F6" s="364"/>
      <c r="G6" s="304" t="s">
        <v>96</v>
      </c>
      <c r="H6" s="1401" t="s">
        <v>97</v>
      </c>
      <c r="I6" s="1351"/>
      <c r="J6" s="1407" t="str">
        <f>IF('KEY INPUTS'!C42="State Fiscal Year","Fiscal Year "&amp;'KEY INPUTS'!D33+1&amp;"",'KEY INPUTS'!D34+1)&amp;"  Debt Service"</f>
        <v>2025  Debt Service</v>
      </c>
      <c r="K6" s="1407"/>
      <c r="L6" s="1407"/>
      <c r="O6"/>
      <c r="P6"/>
      <c r="Q6"/>
      <c r="R6"/>
      <c r="S6"/>
      <c r="T6"/>
      <c r="U6"/>
    </row>
    <row r="7" spans="2:21" ht="21" customHeight="1" thickTop="1">
      <c r="B7" s="363" t="str">
        <f>'49a-Utility2'!B7</f>
        <v>Outstanding - January 1, 2024</v>
      </c>
      <c r="C7" s="313"/>
      <c r="D7" s="313"/>
      <c r="E7" s="313"/>
      <c r="F7" s="313"/>
      <c r="G7" s="757" t="s">
        <v>627</v>
      </c>
      <c r="H7" s="1293"/>
      <c r="I7" s="1294"/>
      <c r="O7"/>
      <c r="P7"/>
      <c r="Q7"/>
      <c r="R7"/>
      <c r="S7"/>
      <c r="T7"/>
      <c r="U7"/>
    </row>
    <row r="8" spans="2:21" ht="21" customHeight="1">
      <c r="B8" s="248" t="s">
        <v>92</v>
      </c>
      <c r="C8" s="248"/>
      <c r="D8" s="248"/>
      <c r="E8" s="248"/>
      <c r="F8" s="248"/>
      <c r="G8" s="702" t="s">
        <v>627</v>
      </c>
      <c r="H8" s="1291"/>
      <c r="I8" s="1292"/>
      <c r="O8" s="294"/>
      <c r="P8"/>
      <c r="Q8"/>
      <c r="R8"/>
      <c r="S8"/>
      <c r="T8"/>
      <c r="U8"/>
    </row>
    <row r="9" spans="2:21" ht="21" customHeight="1">
      <c r="B9" s="248"/>
      <c r="C9" s="248"/>
      <c r="D9" s="248"/>
      <c r="E9" s="248"/>
      <c r="F9" s="248"/>
      <c r="G9" s="702"/>
      <c r="H9" s="914"/>
      <c r="I9" s="915"/>
      <c r="O9"/>
      <c r="P9"/>
      <c r="Q9"/>
      <c r="R9"/>
      <c r="S9"/>
      <c r="T9"/>
      <c r="U9"/>
    </row>
    <row r="10" spans="2:21" ht="21" customHeight="1">
      <c r="B10" s="248" t="s">
        <v>254</v>
      </c>
      <c r="C10" s="248"/>
      <c r="D10" s="248"/>
      <c r="E10" s="248"/>
      <c r="F10" s="248"/>
      <c r="G10" s="450"/>
      <c r="H10" s="1306" t="s">
        <v>627</v>
      </c>
      <c r="I10" s="1307"/>
      <c r="O10"/>
      <c r="P10"/>
      <c r="Q10"/>
      <c r="R10"/>
      <c r="S10"/>
      <c r="T10"/>
      <c r="U10"/>
    </row>
    <row r="11" spans="2:21" ht="21" customHeight="1" thickBot="1">
      <c r="B11" s="248" t="str">
        <f>'49a-Utility2'!B11</f>
        <v>Outstanding - December 31, 2024</v>
      </c>
      <c r="C11" s="248"/>
      <c r="D11" s="248"/>
      <c r="E11" s="248"/>
      <c r="F11" s="248"/>
      <c r="G11" s="758">
        <f>+H7+H8-G10</f>
        <v>0</v>
      </c>
      <c r="H11" s="1300" t="s">
        <v>627</v>
      </c>
      <c r="I11" s="1301"/>
      <c r="O11"/>
      <c r="P11"/>
      <c r="Q11"/>
      <c r="R11"/>
      <c r="S11"/>
      <c r="T11"/>
      <c r="U11"/>
    </row>
    <row r="12" spans="2:21" ht="21" customHeight="1" thickBot="1">
      <c r="G12" s="755">
        <f>SUM(G7:G11)</f>
        <v>0</v>
      </c>
      <c r="H12" s="1304">
        <f>SUM(H7:I11)</f>
        <v>0</v>
      </c>
      <c r="I12" s="1305"/>
      <c r="O12"/>
      <c r="P12"/>
      <c r="Q12"/>
      <c r="R12"/>
      <c r="S12"/>
      <c r="T12"/>
      <c r="U12"/>
    </row>
    <row r="13" spans="2:21" ht="21" customHeight="1" thickTop="1">
      <c r="B13" s="333" t="str">
        <f>'49a-Utility3'!B13</f>
        <v>2025 Loan Maturities</v>
      </c>
      <c r="C13" s="333"/>
      <c r="D13" s="333"/>
      <c r="E13" s="333"/>
      <c r="F13" s="333"/>
      <c r="G13" s="333"/>
      <c r="H13" s="333"/>
      <c r="I13" s="381"/>
      <c r="J13" s="333" t="s">
        <v>373</v>
      </c>
      <c r="K13" s="1311"/>
      <c r="L13" s="1311"/>
      <c r="O13"/>
      <c r="P13"/>
      <c r="Q13"/>
      <c r="R13"/>
      <c r="S13"/>
      <c r="T13"/>
      <c r="U13"/>
    </row>
    <row r="14" spans="2:21" ht="21" customHeight="1" thickBot="1">
      <c r="B14" s="333" t="str">
        <f>'49a-Utility3'!B14</f>
        <v>2025 Interest on Loans</v>
      </c>
      <c r="C14" s="311"/>
      <c r="D14" s="311"/>
      <c r="E14" s="311"/>
      <c r="F14" s="311"/>
      <c r="G14" s="380"/>
      <c r="H14" s="311" t="s">
        <v>373</v>
      </c>
      <c r="I14" s="519"/>
      <c r="O14"/>
      <c r="P14"/>
      <c r="Q14"/>
      <c r="R14"/>
      <c r="S14"/>
      <c r="T14"/>
      <c r="U14"/>
    </row>
    <row r="15" spans="2:21" ht="16.5" customHeight="1" thickTop="1" thickBot="1">
      <c r="B15" s="1402"/>
      <c r="C15" s="1402"/>
      <c r="D15" s="1402"/>
      <c r="E15" s="1402"/>
      <c r="F15" s="1402"/>
      <c r="G15" s="1402"/>
      <c r="H15" s="1402"/>
      <c r="I15" s="1403"/>
      <c r="O15"/>
      <c r="P15"/>
      <c r="Q15"/>
      <c r="R15"/>
      <c r="S15"/>
      <c r="T15"/>
      <c r="U15"/>
    </row>
    <row r="16" spans="2:21" ht="16.2" thickBot="1">
      <c r="B16" s="1420" t="str">
        <f>UPPER('KEY INPUTS'!D$57)&amp;" UTILITY "&amp;IF(R16&lt;&gt;"",(UPPER(R16)),"")&amp;" LOAN"</f>
        <v xml:space="preserve"> UTILITY  LOAN</v>
      </c>
      <c r="C16" s="1420"/>
      <c r="D16" s="1420"/>
      <c r="E16" s="1420"/>
      <c r="F16" s="1420"/>
      <c r="G16" s="1420"/>
      <c r="H16" s="1420"/>
      <c r="I16" s="1421"/>
      <c r="O16"/>
      <c r="P16"/>
      <c r="Q16" s="1056" t="s">
        <v>3576</v>
      </c>
      <c r="R16" s="1057"/>
      <c r="S16"/>
      <c r="T16"/>
      <c r="U16"/>
    </row>
    <row r="17" spans="2:21" ht="21" customHeight="1" thickTop="1">
      <c r="B17" s="363" t="str">
        <f>'49a-Utility2'!B7</f>
        <v>Outstanding - January 1, 2024</v>
      </c>
      <c r="C17" s="313"/>
      <c r="D17" s="313"/>
      <c r="E17" s="313"/>
      <c r="F17" s="313"/>
      <c r="G17" s="757" t="s">
        <v>627</v>
      </c>
      <c r="H17" s="1293"/>
      <c r="I17" s="1294"/>
      <c r="O17"/>
      <c r="P17"/>
      <c r="Q17"/>
      <c r="R17"/>
      <c r="S17"/>
      <c r="T17"/>
      <c r="U17"/>
    </row>
    <row r="18" spans="2:21" ht="21" customHeight="1">
      <c r="B18" s="248" t="s">
        <v>92</v>
      </c>
      <c r="C18" s="248"/>
      <c r="D18" s="248"/>
      <c r="E18" s="248"/>
      <c r="F18" s="248"/>
      <c r="G18" s="702" t="s">
        <v>627</v>
      </c>
      <c r="H18" s="1291"/>
      <c r="I18" s="1292"/>
      <c r="O18"/>
      <c r="P18"/>
      <c r="Q18"/>
      <c r="R18"/>
      <c r="S18"/>
      <c r="T18"/>
      <c r="U18"/>
    </row>
    <row r="19" spans="2:21" ht="21" customHeight="1">
      <c r="B19" s="248" t="s">
        <v>254</v>
      </c>
      <c r="C19" s="248"/>
      <c r="D19" s="248"/>
      <c r="E19" s="248"/>
      <c r="F19" s="248"/>
      <c r="G19" s="450"/>
      <c r="H19" s="1306" t="s">
        <v>627</v>
      </c>
      <c r="I19" s="1307"/>
      <c r="O19"/>
      <c r="P19"/>
      <c r="Q19"/>
      <c r="R19"/>
      <c r="S19"/>
      <c r="T19"/>
      <c r="U19"/>
    </row>
    <row r="20" spans="2:21" ht="21" customHeight="1">
      <c r="B20" s="248"/>
      <c r="C20" s="248"/>
      <c r="D20" s="248"/>
      <c r="E20" s="248"/>
      <c r="F20" s="248"/>
      <c r="G20" s="767"/>
      <c r="H20" s="1308"/>
      <c r="I20" s="1309"/>
      <c r="O20"/>
      <c r="P20"/>
      <c r="Q20"/>
      <c r="R20"/>
      <c r="S20"/>
      <c r="T20"/>
      <c r="U20"/>
    </row>
    <row r="21" spans="2:21" ht="21" customHeight="1">
      <c r="B21" s="248"/>
      <c r="C21" s="248"/>
      <c r="D21" s="248"/>
      <c r="E21" s="248"/>
      <c r="F21" s="248"/>
      <c r="G21" s="767"/>
      <c r="H21" s="1308"/>
      <c r="I21" s="1309"/>
      <c r="O21"/>
      <c r="P21"/>
      <c r="Q21"/>
      <c r="R21"/>
      <c r="S21"/>
      <c r="T21"/>
      <c r="U21"/>
    </row>
    <row r="22" spans="2:21" ht="21" customHeight="1" thickBot="1">
      <c r="B22" s="248" t="str">
        <f>'49a-Utility2'!B11</f>
        <v>Outstanding - December 31, 2024</v>
      </c>
      <c r="C22" s="248"/>
      <c r="D22" s="248"/>
      <c r="E22" s="248"/>
      <c r="F22" s="248"/>
      <c r="G22" s="758">
        <f>+H17+H18-G19-G20-G21+H20+H21</f>
        <v>0</v>
      </c>
      <c r="H22" s="1300" t="s">
        <v>627</v>
      </c>
      <c r="I22" s="1301"/>
      <c r="O22"/>
      <c r="P22"/>
      <c r="Q22"/>
      <c r="R22"/>
      <c r="S22"/>
      <c r="T22"/>
      <c r="U22"/>
    </row>
    <row r="23" spans="2:21" ht="21" customHeight="1" thickBot="1">
      <c r="G23" s="755">
        <f>SUM(G17:G22)</f>
        <v>0</v>
      </c>
      <c r="H23" s="1304">
        <f>SUM(H17:I22)</f>
        <v>0</v>
      </c>
      <c r="I23" s="1305"/>
    </row>
    <row r="24" spans="2:21" ht="21" customHeight="1" thickTop="1">
      <c r="B24" s="333" t="str">
        <f>B13</f>
        <v>2025 Loan Maturities</v>
      </c>
      <c r="C24" s="333"/>
      <c r="D24" s="333"/>
      <c r="E24" s="333"/>
      <c r="F24" s="333"/>
      <c r="G24" s="333"/>
      <c r="H24" s="333"/>
      <c r="I24" s="381"/>
      <c r="J24" s="333" t="s">
        <v>373</v>
      </c>
      <c r="K24" s="1311"/>
      <c r="L24" s="1311"/>
    </row>
    <row r="25" spans="2:21" ht="21" customHeight="1" thickBot="1">
      <c r="B25" s="311" t="str">
        <f>B14</f>
        <v>2025 Interest on Loans</v>
      </c>
      <c r="C25" s="311"/>
      <c r="D25" s="311"/>
      <c r="E25" s="311"/>
      <c r="F25" s="311"/>
      <c r="G25" s="380"/>
      <c r="H25" s="311" t="s">
        <v>373</v>
      </c>
      <c r="I25" s="456"/>
      <c r="J25" s="375"/>
      <c r="K25" s="311"/>
      <c r="L25" s="311"/>
    </row>
    <row r="26" spans="2:21" ht="21" customHeight="1" thickTop="1"/>
    <row r="27" spans="2:21" ht="19.5" customHeight="1" thickBot="1">
      <c r="B27" s="1420" t="str">
        <f>"INTEREST  ON  LOANS  - "&amp;UPPER('KEY INPUTS'!D57)&amp;"  UTILITY  BUDGET"</f>
        <v>INTEREST  ON  LOANS  -   UTILITY  BUDGET</v>
      </c>
      <c r="C27" s="1420"/>
      <c r="D27" s="1420"/>
      <c r="E27" s="1420"/>
      <c r="F27" s="1420"/>
      <c r="G27" s="1420"/>
      <c r="H27" s="1420"/>
      <c r="I27" s="1420"/>
      <c r="J27" s="1420"/>
      <c r="K27" s="1420"/>
      <c r="L27" s="1420"/>
    </row>
    <row r="28" spans="2:21" ht="21" customHeight="1" thickTop="1">
      <c r="B28" s="313" t="str">
        <f>'49a-Utility1'!B28</f>
        <v>2025 Interest on Loans (*Items)</v>
      </c>
      <c r="C28" s="313"/>
      <c r="D28" s="313"/>
      <c r="E28" s="313"/>
      <c r="F28" s="313"/>
      <c r="G28" s="313"/>
      <c r="H28" s="313" t="s">
        <v>373</v>
      </c>
      <c r="I28" s="384">
        <f>+I25+I14</f>
        <v>0</v>
      </c>
    </row>
    <row r="29" spans="2:21" ht="21" customHeight="1">
      <c r="B29" s="248" t="str">
        <f>'49a-Utility1'!B29</f>
        <v>Less: Interest Accrued to 12/31/2024 (Trial Balance)</v>
      </c>
      <c r="C29" s="248"/>
      <c r="D29" s="248"/>
      <c r="E29" s="248"/>
      <c r="F29" s="248"/>
      <c r="G29" s="248"/>
      <c r="H29" s="248" t="s">
        <v>373</v>
      </c>
      <c r="I29" s="449"/>
    </row>
    <row r="30" spans="2:21" ht="21" customHeight="1">
      <c r="B30" s="248"/>
      <c r="C30" s="248" t="s">
        <v>317</v>
      </c>
      <c r="D30" s="248"/>
      <c r="E30" s="248"/>
      <c r="F30" s="248"/>
      <c r="G30" s="248"/>
      <c r="H30" s="248" t="s">
        <v>373</v>
      </c>
      <c r="I30" s="379">
        <f>+I28-I29</f>
        <v>0</v>
      </c>
    </row>
    <row r="31" spans="2:21" ht="21" customHeight="1">
      <c r="B31" s="248" t="str">
        <f>'49a-Utility1'!B31</f>
        <v>Add: Interest to be Accrued as of 12/31/2025</v>
      </c>
      <c r="C31" s="248"/>
      <c r="D31" s="248"/>
      <c r="E31" s="248"/>
      <c r="F31" s="248"/>
      <c r="G31" s="248"/>
      <c r="H31" s="248" t="s">
        <v>373</v>
      </c>
      <c r="I31" s="449"/>
    </row>
    <row r="32" spans="2:21" ht="21" customHeight="1">
      <c r="B32" s="248" t="str">
        <f>'49a-Utility1'!B32</f>
        <v>Required Appropriation 2025</v>
      </c>
      <c r="C32" s="248"/>
      <c r="D32" s="248"/>
      <c r="E32" s="248"/>
      <c r="F32" s="248"/>
      <c r="G32" s="248"/>
      <c r="H32" s="248"/>
      <c r="I32" s="312"/>
      <c r="J32" s="376" t="s">
        <v>373</v>
      </c>
      <c r="K32" s="1414">
        <f>+I30+I31</f>
        <v>0</v>
      </c>
      <c r="L32" s="1415"/>
    </row>
    <row r="33" spans="2:12" ht="13.5" customHeight="1">
      <c r="K33" s="378"/>
      <c r="L33" s="302"/>
    </row>
    <row r="34" spans="2:12" ht="13.5" customHeight="1">
      <c r="K34" s="378"/>
      <c r="L34" s="302"/>
    </row>
    <row r="35" spans="2:12" ht="21" customHeight="1" thickBot="1">
      <c r="B35" s="1404" t="str">
        <f>'49-Utility1'!B35</f>
        <v>LIST  OF  BONDS  ISSUED  DURING  2024</v>
      </c>
      <c r="C35" s="1404"/>
      <c r="D35" s="1404"/>
      <c r="E35" s="1404"/>
      <c r="F35" s="1404"/>
      <c r="G35" s="1404"/>
      <c r="H35" s="1404"/>
      <c r="I35" s="1404"/>
      <c r="J35" s="1404"/>
      <c r="K35" s="1404"/>
      <c r="L35" s="1404"/>
    </row>
    <row r="36" spans="2:12" ht="27" customHeight="1" thickTop="1" thickBot="1">
      <c r="B36" s="1350" t="s">
        <v>413</v>
      </c>
      <c r="C36" s="1350"/>
      <c r="D36" s="1350"/>
      <c r="E36" s="1350"/>
      <c r="F36" s="1350"/>
      <c r="G36" s="304" t="str">
        <f>'49a-Utility2'!G36</f>
        <v>2025 Maturity</v>
      </c>
      <c r="H36" s="1401" t="s">
        <v>91</v>
      </c>
      <c r="I36" s="1351"/>
      <c r="J36" s="1399" t="s">
        <v>89</v>
      </c>
      <c r="K36" s="1400"/>
      <c r="L36" s="377" t="s">
        <v>90</v>
      </c>
    </row>
    <row r="37" spans="2:12" ht="21" customHeight="1" thickTop="1">
      <c r="B37" s="518"/>
      <c r="C37" s="518"/>
      <c r="D37" s="518"/>
      <c r="E37" s="518"/>
      <c r="F37" s="518"/>
      <c r="G37" s="454"/>
      <c r="H37" s="1293"/>
      <c r="I37" s="1294"/>
      <c r="J37" s="1422"/>
      <c r="K37" s="1417"/>
      <c r="L37" s="669"/>
    </row>
    <row r="38" spans="2:12" ht="21" customHeight="1">
      <c r="B38" s="495"/>
      <c r="C38" s="495"/>
      <c r="D38" s="495"/>
      <c r="E38" s="495"/>
      <c r="F38" s="495"/>
      <c r="G38" s="450"/>
      <c r="H38" s="1291"/>
      <c r="I38" s="1292"/>
      <c r="J38" s="1397"/>
      <c r="K38" s="1398"/>
      <c r="L38" s="670"/>
    </row>
    <row r="39" spans="2:12" ht="21" customHeight="1">
      <c r="B39" s="495"/>
      <c r="C39" s="495"/>
      <c r="D39" s="495"/>
      <c r="E39" s="495"/>
      <c r="F39" s="495"/>
      <c r="G39" s="450"/>
      <c r="H39" s="1291"/>
      <c r="I39" s="1292"/>
      <c r="J39" s="1397"/>
      <c r="K39" s="1398"/>
      <c r="L39" s="670"/>
    </row>
    <row r="40" spans="2:12" ht="21" customHeight="1">
      <c r="B40" s="495"/>
      <c r="C40" s="495"/>
      <c r="D40" s="495"/>
      <c r="E40" s="495"/>
      <c r="F40" s="495"/>
      <c r="G40" s="450"/>
      <c r="H40" s="1291"/>
      <c r="I40" s="1292"/>
      <c r="J40" s="1397"/>
      <c r="K40" s="1398"/>
      <c r="L40" s="670"/>
    </row>
    <row r="41" spans="2:12" ht="21" customHeight="1" thickBot="1">
      <c r="B41" s="311"/>
      <c r="C41" s="311"/>
      <c r="D41" s="311"/>
      <c r="E41" s="311"/>
      <c r="F41" s="310"/>
      <c r="G41" s="755">
        <f>SUM(G37:G40)</f>
        <v>0</v>
      </c>
      <c r="H41" s="1289">
        <f>SUM(H37:I40)</f>
        <v>0</v>
      </c>
      <c r="I41" s="1290"/>
      <c r="J41" s="375"/>
      <c r="K41" s="311"/>
      <c r="L41" s="315"/>
    </row>
    <row r="42" spans="2:12" ht="13.8" thickTop="1">
      <c r="G42" s="347"/>
      <c r="H42" s="347"/>
      <c r="I42" s="347"/>
    </row>
    <row r="51" spans="2:12" ht="13.8">
      <c r="B51" s="1353" t="s">
        <v>3355</v>
      </c>
      <c r="C51" s="1353"/>
      <c r="D51" s="1353"/>
      <c r="E51" s="1353"/>
      <c r="F51" s="1353"/>
      <c r="G51" s="1353"/>
      <c r="H51" s="1353"/>
      <c r="I51" s="1353"/>
      <c r="J51" s="1353"/>
      <c r="K51" s="1353"/>
      <c r="L51" s="1353"/>
    </row>
  </sheetData>
  <sheetProtection algorithmName="SHA-512" hashValue="oWG2/9wWOj1Y/rCMCxKJEPLjcYZwCLbh9P0xhX3Gqu0LrVeq6lsCCnJ7xd0D1gcEzHdYVTDY3L9l2qpHCGv2fQ==" saltValue="NiqM/5lxyChw8hzuElr7jQ=="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1:L51"/>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6A912-D7DF-4618-9376-8FA49DFEB4AD}">
  <sheetPr codeName="Sheet297">
    <tabColor theme="2" tint="-0.249977111117893"/>
  </sheetPr>
  <dimension ref="A2:V30"/>
  <sheetViews>
    <sheetView zoomScaleNormal="100" zoomScaleSheetLayoutView="80" workbookViewId="0">
      <selection activeCell="J16" sqref="J16"/>
    </sheetView>
  </sheetViews>
  <sheetFormatPr defaultColWidth="8.88671875" defaultRowHeight="13.2"/>
  <cols>
    <col min="1" max="1" width="5.6640625" style="267" customWidth="1"/>
    <col min="2" max="3" width="4.88671875" style="267" customWidth="1"/>
    <col min="4" max="4" width="30.44140625" style="267" customWidth="1"/>
    <col min="5" max="11" width="15.6640625" style="267" customWidth="1"/>
    <col min="12" max="12" width="1.6640625" style="267" customWidth="1"/>
    <col min="13" max="13" width="12.6640625" style="267" customWidth="1"/>
    <col min="14" max="16384" width="8.88671875" style="267"/>
  </cols>
  <sheetData>
    <row r="2" spans="1:22" ht="20.399999999999999">
      <c r="B2" s="1363" t="str">
        <f>"DEBT  SERVICE  FOR  "&amp;UPPER('KEY INPUTS'!D57)&amp;"  UTILITY  NOTES  (OTHER  THAN  UTILITY  ASSESSMENT  NOTES)"</f>
        <v>DEBT  SERVICE  FOR    UTILITY  NOTES  (OTHER  THAN  UTILITY  ASSESSMENT  NOTES)</v>
      </c>
      <c r="C2" s="1363"/>
      <c r="D2" s="1363"/>
      <c r="E2" s="1363"/>
      <c r="F2" s="1363"/>
      <c r="G2" s="1363"/>
      <c r="H2" s="1363"/>
      <c r="I2" s="1363"/>
      <c r="J2" s="1363"/>
      <c r="K2" s="1363"/>
      <c r="L2" s="1363"/>
      <c r="M2" s="1363"/>
    </row>
    <row r="3" spans="1:22" ht="21" thickBot="1">
      <c r="B3" s="1363"/>
      <c r="C3" s="1363"/>
      <c r="D3" s="1363"/>
      <c r="E3" s="1363"/>
      <c r="F3" s="1363"/>
      <c r="G3" s="1363"/>
      <c r="H3" s="1363"/>
      <c r="I3" s="1363"/>
      <c r="J3" s="1363"/>
      <c r="K3" s="1363"/>
      <c r="L3" s="1363"/>
      <c r="M3" s="1363"/>
    </row>
    <row r="4" spans="1:22" ht="13.5" customHeight="1" thickTop="1">
      <c r="B4" s="323"/>
      <c r="C4" s="323"/>
      <c r="D4" s="323"/>
      <c r="E4" s="324"/>
      <c r="F4" s="324"/>
      <c r="G4" s="324"/>
      <c r="H4" s="324"/>
      <c r="I4" s="324"/>
      <c r="J4" s="323"/>
      <c r="K4" s="846"/>
      <c r="L4" s="323"/>
      <c r="M4" s="847"/>
    </row>
    <row r="5" spans="1:22" ht="13.5" customHeight="1">
      <c r="E5" s="320" t="s">
        <v>139</v>
      </c>
      <c r="F5" s="319" t="s">
        <v>139</v>
      </c>
      <c r="G5" s="319" t="s">
        <v>414</v>
      </c>
      <c r="H5" s="319" t="s">
        <v>17</v>
      </c>
      <c r="I5" s="319" t="s">
        <v>542</v>
      </c>
      <c r="J5" s="1423" t="str">
        <f>IF('KEY INPUTS'!C42="State Fiscal Year","Fiscal Year "&amp;'KEY INPUTS'!D33+1&amp;"",'KEY INPUTS'!D34+1)&amp;""</f>
        <v>2025</v>
      </c>
      <c r="K5" s="1424"/>
      <c r="L5" s="848"/>
      <c r="M5" s="849" t="s">
        <v>543</v>
      </c>
    </row>
    <row r="6" spans="1:22" ht="13.5" customHeight="1">
      <c r="C6" s="1352" t="s">
        <v>138</v>
      </c>
      <c r="D6" s="1427"/>
      <c r="E6" s="320" t="s">
        <v>414</v>
      </c>
      <c r="F6" s="319" t="s">
        <v>140</v>
      </c>
      <c r="G6" s="319" t="s">
        <v>539</v>
      </c>
      <c r="H6" s="319" t="s">
        <v>540</v>
      </c>
      <c r="I6" s="319" t="s">
        <v>540</v>
      </c>
      <c r="J6" s="1425"/>
      <c r="K6" s="1426"/>
      <c r="L6" s="850"/>
      <c r="M6" s="849" t="s">
        <v>546</v>
      </c>
    </row>
    <row r="7" spans="1:22" ht="13.5" customHeight="1">
      <c r="E7" s="320" t="s">
        <v>92</v>
      </c>
      <c r="F7" s="320" t="s">
        <v>141</v>
      </c>
      <c r="G7" s="320" t="s">
        <v>198</v>
      </c>
      <c r="H7" s="320" t="s">
        <v>541</v>
      </c>
      <c r="I7" s="320" t="s">
        <v>543</v>
      </c>
      <c r="J7" s="320" t="s">
        <v>113</v>
      </c>
      <c r="K7" s="320" t="s">
        <v>544</v>
      </c>
      <c r="L7" s="319"/>
      <c r="M7" s="849" t="s">
        <v>547</v>
      </c>
    </row>
    <row r="8" spans="1:22" ht="13.5" customHeight="1" thickBot="1">
      <c r="B8" s="318"/>
      <c r="C8" s="318"/>
      <c r="D8" s="318"/>
      <c r="E8" s="316"/>
      <c r="F8" s="316"/>
      <c r="G8" s="605" t="str">
        <f>IF('KEY INPUTS'!C42 = "State Fiscal Year", 'KEY INPUTS'!F47,'KEY INPUTS'!D47)</f>
        <v>Dec. 31, 2024</v>
      </c>
      <c r="H8" s="316"/>
      <c r="I8" s="316"/>
      <c r="J8" s="317"/>
      <c r="K8" s="402"/>
      <c r="L8" s="851"/>
      <c r="M8" s="852"/>
      <c r="P8"/>
      <c r="Q8"/>
      <c r="R8"/>
      <c r="S8"/>
      <c r="T8"/>
      <c r="U8"/>
      <c r="V8"/>
    </row>
    <row r="9" spans="1:22" ht="21" customHeight="1" thickTop="1">
      <c r="B9" s="399" t="s">
        <v>292</v>
      </c>
      <c r="C9" s="518"/>
      <c r="D9" s="520"/>
      <c r="E9" s="454"/>
      <c r="F9" s="950"/>
      <c r="G9" s="454"/>
      <c r="H9" s="964"/>
      <c r="I9" s="606"/>
      <c r="J9" s="454"/>
      <c r="K9" s="454">
        <f>+I9*G9</f>
        <v>0</v>
      </c>
      <c r="L9" s="965"/>
      <c r="M9" s="966"/>
      <c r="P9"/>
      <c r="Q9"/>
      <c r="R9"/>
      <c r="S9"/>
      <c r="T9"/>
      <c r="U9"/>
      <c r="V9"/>
    </row>
    <row r="10" spans="1:22" ht="21" customHeight="1">
      <c r="B10" s="398" t="s">
        <v>293</v>
      </c>
      <c r="C10" s="524"/>
      <c r="D10" s="499"/>
      <c r="E10" s="450"/>
      <c r="F10" s="951"/>
      <c r="G10" s="450"/>
      <c r="H10" s="967"/>
      <c r="I10" s="471"/>
      <c r="J10" s="968"/>
      <c r="K10" s="450">
        <f>+I10*G10</f>
        <v>0</v>
      </c>
      <c r="L10" s="479"/>
      <c r="M10" s="969"/>
      <c r="N10" s="267" t="s">
        <v>3131</v>
      </c>
      <c r="O10" s="267" t="s">
        <v>3131</v>
      </c>
      <c r="P10" s="294"/>
      <c r="Q10"/>
      <c r="R10"/>
      <c r="S10"/>
      <c r="T10"/>
      <c r="U10"/>
      <c r="V10"/>
    </row>
    <row r="11" spans="1:22" ht="21" customHeight="1">
      <c r="B11" s="398" t="s">
        <v>294</v>
      </c>
      <c r="C11" s="495"/>
      <c r="D11" s="499"/>
      <c r="E11" s="450"/>
      <c r="F11" s="529"/>
      <c r="G11" s="450"/>
      <c r="H11" s="450"/>
      <c r="I11" s="471"/>
      <c r="J11" s="450"/>
      <c r="K11" s="450"/>
      <c r="L11" s="479"/>
      <c r="M11" s="528"/>
      <c r="P11"/>
      <c r="Q11"/>
      <c r="R11"/>
      <c r="S11"/>
      <c r="T11"/>
      <c r="U11"/>
      <c r="V11"/>
    </row>
    <row r="12" spans="1:22" ht="21" customHeight="1">
      <c r="B12" s="398" t="s">
        <v>295</v>
      </c>
      <c r="C12" s="495"/>
      <c r="D12" s="499"/>
      <c r="E12" s="450"/>
      <c r="F12" s="529"/>
      <c r="G12" s="450"/>
      <c r="H12" s="450"/>
      <c r="I12" s="471"/>
      <c r="J12" s="450"/>
      <c r="K12" s="450"/>
      <c r="L12" s="479"/>
      <c r="M12" s="528"/>
      <c r="P12"/>
      <c r="Q12"/>
      <c r="R12"/>
      <c r="S12"/>
      <c r="T12"/>
      <c r="U12"/>
      <c r="V12"/>
    </row>
    <row r="13" spans="1:22" ht="21" customHeight="1">
      <c r="B13" s="398" t="s">
        <v>296</v>
      </c>
      <c r="C13" s="495"/>
      <c r="D13" s="499"/>
      <c r="E13" s="450"/>
      <c r="F13" s="529"/>
      <c r="G13" s="450"/>
      <c r="H13" s="450"/>
      <c r="I13" s="471"/>
      <c r="J13" s="450"/>
      <c r="K13" s="450"/>
      <c r="L13" s="479"/>
      <c r="M13" s="528"/>
      <c r="P13"/>
      <c r="Q13"/>
      <c r="R13"/>
      <c r="S13"/>
      <c r="T13"/>
      <c r="U13"/>
      <c r="V13"/>
    </row>
    <row r="14" spans="1:22" ht="21" customHeight="1">
      <c r="B14" s="398" t="s">
        <v>297</v>
      </c>
      <c r="C14" s="495"/>
      <c r="D14" s="499"/>
      <c r="E14" s="453"/>
      <c r="F14" s="530"/>
      <c r="G14" s="453"/>
      <c r="H14" s="453"/>
      <c r="I14" s="474"/>
      <c r="J14" s="450"/>
      <c r="K14" s="450"/>
      <c r="L14" s="479"/>
      <c r="M14" s="528"/>
      <c r="P14"/>
      <c r="Q14"/>
      <c r="R14"/>
      <c r="S14"/>
      <c r="T14"/>
      <c r="U14"/>
      <c r="V14"/>
    </row>
    <row r="15" spans="1:22" ht="21" customHeight="1">
      <c r="A15" s="1367" t="s">
        <v>3167</v>
      </c>
      <c r="B15" s="398" t="s">
        <v>298</v>
      </c>
      <c r="C15" s="531"/>
      <c r="D15" s="532"/>
      <c r="E15" s="450"/>
      <c r="F15" s="529"/>
      <c r="G15" s="450"/>
      <c r="H15" s="450"/>
      <c r="I15" s="471"/>
      <c r="J15" s="450"/>
      <c r="K15" s="450"/>
      <c r="L15" s="479"/>
      <c r="M15" s="528"/>
      <c r="P15"/>
      <c r="Q15"/>
      <c r="R15"/>
      <c r="S15"/>
      <c r="T15"/>
      <c r="U15"/>
      <c r="V15"/>
    </row>
    <row r="16" spans="1:22" ht="21" customHeight="1">
      <c r="A16" s="1367"/>
      <c r="B16" s="398" t="s">
        <v>384</v>
      </c>
      <c r="C16" s="495"/>
      <c r="D16" s="499"/>
      <c r="E16" s="450"/>
      <c r="F16" s="529"/>
      <c r="G16" s="450"/>
      <c r="H16" s="450"/>
      <c r="I16" s="471"/>
      <c r="J16" s="450"/>
      <c r="K16" s="450"/>
      <c r="L16" s="479"/>
      <c r="M16" s="528"/>
      <c r="P16"/>
      <c r="Q16"/>
      <c r="R16"/>
      <c r="S16"/>
      <c r="T16"/>
      <c r="U16"/>
      <c r="V16"/>
    </row>
    <row r="17" spans="1:22" ht="21" customHeight="1">
      <c r="A17" s="1367"/>
      <c r="B17" s="398" t="s">
        <v>385</v>
      </c>
      <c r="C17" s="495"/>
      <c r="D17" s="499"/>
      <c r="E17" s="450"/>
      <c r="F17" s="529"/>
      <c r="G17" s="450"/>
      <c r="H17" s="450"/>
      <c r="I17" s="471"/>
      <c r="J17" s="450"/>
      <c r="K17" s="450"/>
      <c r="L17" s="479"/>
      <c r="M17" s="528"/>
      <c r="P17"/>
      <c r="Q17"/>
      <c r="R17"/>
      <c r="S17"/>
      <c r="T17"/>
      <c r="U17"/>
      <c r="V17"/>
    </row>
    <row r="18" spans="1:22" ht="21" customHeight="1">
      <c r="A18" s="397"/>
      <c r="B18" s="538" t="s">
        <v>786</v>
      </c>
      <c r="C18" s="248"/>
      <c r="D18" s="312"/>
      <c r="E18" s="114">
        <f>SUM(E9:E17)</f>
        <v>0</v>
      </c>
      <c r="F18" s="534"/>
      <c r="G18" s="114">
        <f>SUM(G9:G17)</f>
        <v>0</v>
      </c>
      <c r="H18" s="114"/>
      <c r="I18" s="970"/>
      <c r="J18" s="114">
        <f>SUM(J9:J17)</f>
        <v>0</v>
      </c>
      <c r="K18" s="114">
        <f>SUM(K9:K17)</f>
        <v>0</v>
      </c>
      <c r="L18" s="971"/>
      <c r="M18" s="537"/>
      <c r="P18"/>
      <c r="Q18"/>
      <c r="R18"/>
      <c r="S18"/>
      <c r="T18"/>
      <c r="U18"/>
      <c r="V18"/>
    </row>
    <row r="19" spans="1:22" ht="21" customHeight="1">
      <c r="A19" s="397"/>
      <c r="B19" s="368"/>
      <c r="E19" s="176"/>
      <c r="G19" s="176"/>
      <c r="H19" s="176"/>
      <c r="I19" s="972"/>
      <c r="J19" s="176"/>
      <c r="K19" s="176"/>
      <c r="L19" s="176"/>
      <c r="P19"/>
      <c r="Q19"/>
      <c r="R19"/>
      <c r="S19"/>
      <c r="T19"/>
      <c r="U19"/>
      <c r="V19"/>
    </row>
    <row r="20" spans="1:22" ht="21" customHeight="1">
      <c r="A20" s="397"/>
      <c r="B20" s="368"/>
      <c r="E20" s="176"/>
      <c r="G20" s="176"/>
      <c r="H20" s="176"/>
      <c r="I20" s="972"/>
      <c r="J20" s="176"/>
      <c r="K20" s="176"/>
      <c r="L20" s="176"/>
      <c r="P20"/>
      <c r="Q20"/>
      <c r="R20"/>
      <c r="S20"/>
      <c r="T20"/>
      <c r="U20"/>
      <c r="V20"/>
    </row>
    <row r="21" spans="1:22" ht="13.5" customHeight="1">
      <c r="B21" s="394"/>
      <c r="C21" s="309"/>
      <c r="D21" s="393"/>
      <c r="J21" s="385"/>
      <c r="P21"/>
      <c r="Q21"/>
      <c r="R21"/>
      <c r="S21"/>
      <c r="T21"/>
      <c r="U21"/>
      <c r="V21"/>
    </row>
    <row r="22" spans="1:22">
      <c r="B22" s="361" t="s">
        <v>40</v>
      </c>
      <c r="C22" s="385"/>
      <c r="D22" s="392"/>
      <c r="E22" s="385"/>
      <c r="I22" s="1392"/>
      <c r="J22" s="1392"/>
      <c r="K22" s="1392"/>
      <c r="L22" s="1392"/>
      <c r="M22" s="1392"/>
      <c r="P22"/>
      <c r="Q22"/>
      <c r="R22"/>
      <c r="S22"/>
      <c r="T22"/>
      <c r="U22"/>
      <c r="V22"/>
    </row>
    <row r="23" spans="1:22" ht="15.6" customHeight="1">
      <c r="B23" s="386" t="s">
        <v>41</v>
      </c>
      <c r="C23" s="386"/>
      <c r="D23" s="361" t="s">
        <v>3577</v>
      </c>
      <c r="E23" s="385"/>
      <c r="M23" s="61"/>
      <c r="P23"/>
      <c r="Q23"/>
      <c r="R23"/>
      <c r="S23"/>
      <c r="T23"/>
      <c r="U23"/>
      <c r="V23"/>
    </row>
    <row r="24" spans="1:22" ht="15.6" customHeight="1">
      <c r="B24" s="361"/>
      <c r="C24" s="361"/>
      <c r="D24" s="386" t="s">
        <v>42</v>
      </c>
      <c r="E24" s="385"/>
      <c r="M24" s="973"/>
      <c r="P24"/>
      <c r="Q24"/>
      <c r="R24"/>
      <c r="S24"/>
      <c r="T24"/>
      <c r="U24"/>
      <c r="V24"/>
    </row>
    <row r="25" spans="1:22" ht="15.6" customHeight="1">
      <c r="B25" s="361"/>
      <c r="C25" s="361"/>
      <c r="D25" s="361" t="s">
        <v>43</v>
      </c>
      <c r="E25" s="385"/>
      <c r="M25" s="61"/>
    </row>
    <row r="26" spans="1:22" ht="15.6" customHeight="1">
      <c r="B26" s="361"/>
      <c r="C26" s="361"/>
      <c r="D26" s="361" t="str">
        <f>"All notes with an original date of issue of "&amp;IF('KEY INPUTS'!C42="State Fiscal Year","FY "&amp;'KEY INPUTS'!D33-2&amp;"",'KEY INPUTS'!D34-2)&amp;" or prior require one legally payable installment to be budgeted if"</f>
        <v>All notes with an original date of issue of 2022 or prior require one legally payable installment to be budgeted if</v>
      </c>
      <c r="E26" s="385"/>
      <c r="M26" s="973"/>
    </row>
    <row r="27" spans="1:22" ht="15.6" customHeight="1">
      <c r="B27" s="361"/>
      <c r="C27" s="361"/>
      <c r="D27" s="361" t="str">
        <f>"it is contemplated that such notes will be renewed in "&amp;IF('KEY INPUTS'!C42="State Fiscal Year","FY "&amp;'KEY INPUTS'!D33+1&amp;"",'KEY INPUTS'!D34+1)&amp;" or written intent of permanent financing submitted."</f>
        <v>it is contemplated that such notes will be renewed in 2025 or written intent of permanent financing submitted.</v>
      </c>
      <c r="E27" s="385"/>
      <c r="M27" s="61"/>
    </row>
    <row r="28" spans="1:22">
      <c r="B28" s="361"/>
      <c r="C28" s="361"/>
      <c r="D28" s="361" t="s">
        <v>44</v>
      </c>
      <c r="E28" s="385"/>
    </row>
    <row r="29" spans="1:22">
      <c r="B29" s="385"/>
      <c r="C29" s="385"/>
      <c r="D29" s="386" t="s">
        <v>45</v>
      </c>
      <c r="E29" s="385"/>
    </row>
    <row r="30" spans="1:22">
      <c r="J30" s="385" t="s">
        <v>98</v>
      </c>
    </row>
  </sheetData>
  <sheetProtection algorithmName="SHA-512" hashValue="zGUDrpMWT3sp72FEILILAM8F7abQo/FX4cJHlsni8uycfrQyvr6EcZ6BtYKNgVwubGjQgYwv+lVv0cJK33TH+w==" saltValue="8fRyB6NQ30R85Ov0VvOBKQ=="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6DA4E-0CF5-4154-9AA9-71CC20283860}">
  <sheetPr codeName="Sheet237">
    <tabColor theme="2" tint="-0.249977111117893"/>
  </sheetPr>
  <dimension ref="A2:V30"/>
  <sheetViews>
    <sheetView zoomScaleNormal="100" zoomScaleSheetLayoutView="80" workbookViewId="0">
      <selection activeCell="I13" sqref="I13"/>
    </sheetView>
  </sheetViews>
  <sheetFormatPr defaultColWidth="8.88671875" defaultRowHeight="13.2"/>
  <cols>
    <col min="1" max="1" width="5.6640625" style="267" customWidth="1"/>
    <col min="2" max="3" width="4.88671875" style="267" customWidth="1"/>
    <col min="4" max="4" width="30.44140625" style="267" customWidth="1"/>
    <col min="5" max="11" width="15.6640625" style="267" customWidth="1"/>
    <col min="12" max="12" width="1.6640625" style="267" customWidth="1"/>
    <col min="13" max="13" width="12.6640625" style="267" customWidth="1"/>
    <col min="14" max="16384" width="8.88671875" style="267"/>
  </cols>
  <sheetData>
    <row r="2" spans="1:22" ht="20.399999999999999">
      <c r="B2" s="1363" t="str">
        <f>"DEBT  SERVICE  FOR  "&amp;UPPER('KEY INPUTS'!D57)&amp;"  UTILITY  NOTES  (OTHER  THAN  UTILITY  ASSESSMENT  NOTES)"</f>
        <v>DEBT  SERVICE  FOR    UTILITY  NOTES  (OTHER  THAN  UTILITY  ASSESSMENT  NOTES)</v>
      </c>
      <c r="C2" s="1363"/>
      <c r="D2" s="1363"/>
      <c r="E2" s="1363"/>
      <c r="F2" s="1363"/>
      <c r="G2" s="1363"/>
      <c r="H2" s="1363"/>
      <c r="I2" s="1363"/>
      <c r="J2" s="1363"/>
      <c r="K2" s="1363"/>
      <c r="L2" s="1363"/>
      <c r="M2" s="1363"/>
    </row>
    <row r="3" spans="1:22" ht="21" thickBot="1">
      <c r="B3" s="1363"/>
      <c r="C3" s="1363"/>
      <c r="D3" s="1363"/>
      <c r="E3" s="1363"/>
      <c r="F3" s="1363"/>
      <c r="G3" s="1363"/>
      <c r="H3" s="1363"/>
      <c r="I3" s="1363"/>
      <c r="J3" s="1363"/>
      <c r="K3" s="1363"/>
      <c r="L3" s="1363"/>
      <c r="M3" s="1363"/>
    </row>
    <row r="4" spans="1:22" ht="13.5" customHeight="1" thickTop="1">
      <c r="B4" s="323"/>
      <c r="C4" s="323"/>
      <c r="D4" s="323"/>
      <c r="E4" s="324"/>
      <c r="F4" s="324"/>
      <c r="G4" s="324"/>
      <c r="H4" s="324"/>
      <c r="I4" s="324"/>
      <c r="J4" s="323"/>
      <c r="K4" s="846"/>
      <c r="L4" s="323"/>
      <c r="M4" s="847"/>
    </row>
    <row r="5" spans="1:22" ht="13.5" customHeight="1">
      <c r="E5" s="320" t="s">
        <v>139</v>
      </c>
      <c r="F5" s="319" t="s">
        <v>139</v>
      </c>
      <c r="G5" s="319" t="s">
        <v>414</v>
      </c>
      <c r="H5" s="319" t="s">
        <v>17</v>
      </c>
      <c r="I5" s="319" t="s">
        <v>542</v>
      </c>
      <c r="J5" s="1423" t="str">
        <f>IF('KEY INPUTS'!C42="State Fiscal Year","Fiscal Year "&amp;'KEY INPUTS'!D33+1&amp;"",'KEY INPUTS'!D34+1)&amp;""</f>
        <v>2025</v>
      </c>
      <c r="K5" s="1424"/>
      <c r="L5" s="848"/>
      <c r="M5" s="849" t="s">
        <v>543</v>
      </c>
    </row>
    <row r="6" spans="1:22" ht="13.5" customHeight="1">
      <c r="C6" s="1352" t="s">
        <v>138</v>
      </c>
      <c r="D6" s="1427"/>
      <c r="E6" s="320" t="s">
        <v>414</v>
      </c>
      <c r="F6" s="319" t="s">
        <v>140</v>
      </c>
      <c r="G6" s="319" t="s">
        <v>539</v>
      </c>
      <c r="H6" s="319" t="s">
        <v>540</v>
      </c>
      <c r="I6" s="319" t="s">
        <v>540</v>
      </c>
      <c r="J6" s="1425"/>
      <c r="K6" s="1426"/>
      <c r="L6" s="850"/>
      <c r="M6" s="849" t="s">
        <v>546</v>
      </c>
    </row>
    <row r="7" spans="1:22" ht="13.5" customHeight="1">
      <c r="E7" s="320" t="s">
        <v>92</v>
      </c>
      <c r="F7" s="320" t="s">
        <v>141</v>
      </c>
      <c r="G7" s="320" t="s">
        <v>198</v>
      </c>
      <c r="H7" s="320" t="s">
        <v>541</v>
      </c>
      <c r="I7" s="320" t="s">
        <v>543</v>
      </c>
      <c r="J7" s="320" t="s">
        <v>113</v>
      </c>
      <c r="K7" s="320" t="s">
        <v>544</v>
      </c>
      <c r="L7" s="319"/>
      <c r="M7" s="849" t="s">
        <v>547</v>
      </c>
    </row>
    <row r="8" spans="1:22" ht="13.5" customHeight="1" thickBot="1">
      <c r="B8" s="318"/>
      <c r="C8" s="318"/>
      <c r="D8" s="318"/>
      <c r="E8" s="316"/>
      <c r="F8" s="316"/>
      <c r="G8" s="605" t="str">
        <f>IF('KEY INPUTS'!C42 = "State Fiscal Year", 'KEY INPUTS'!F47,'KEY INPUTS'!D47)</f>
        <v>Dec. 31, 2024</v>
      </c>
      <c r="H8" s="316"/>
      <c r="I8" s="316"/>
      <c r="J8" s="317"/>
      <c r="K8" s="402"/>
      <c r="L8" s="851"/>
      <c r="M8" s="852"/>
      <c r="P8"/>
      <c r="Q8"/>
      <c r="R8"/>
      <c r="S8"/>
      <c r="T8"/>
      <c r="U8"/>
      <c r="V8"/>
    </row>
    <row r="9" spans="1:22" ht="21" customHeight="1" thickTop="1">
      <c r="B9" s="399" t="s">
        <v>292</v>
      </c>
      <c r="C9" s="518"/>
      <c r="D9" s="520"/>
      <c r="E9" s="466"/>
      <c r="F9" s="521"/>
      <c r="G9" s="466"/>
      <c r="H9" s="522"/>
      <c r="I9" s="468"/>
      <c r="J9" s="466"/>
      <c r="K9" s="466"/>
      <c r="L9" s="477"/>
      <c r="M9" s="523"/>
      <c r="P9"/>
      <c r="Q9"/>
      <c r="R9"/>
      <c r="S9"/>
      <c r="T9"/>
      <c r="U9"/>
      <c r="V9"/>
    </row>
    <row r="10" spans="1:22" ht="21" customHeight="1">
      <c r="B10" s="398" t="s">
        <v>293</v>
      </c>
      <c r="C10" s="524"/>
      <c r="D10" s="499"/>
      <c r="E10" s="450"/>
      <c r="F10" s="525"/>
      <c r="G10" s="450"/>
      <c r="H10" s="450"/>
      <c r="I10" s="526"/>
      <c r="J10" s="527"/>
      <c r="K10" s="450"/>
      <c r="L10" s="479"/>
      <c r="M10" s="528"/>
      <c r="N10" s="267" t="s">
        <v>3131</v>
      </c>
      <c r="O10" s="267" t="s">
        <v>3131</v>
      </c>
      <c r="P10" s="294"/>
      <c r="Q10"/>
      <c r="R10"/>
      <c r="S10"/>
      <c r="T10"/>
      <c r="U10"/>
      <c r="V10"/>
    </row>
    <row r="11" spans="1:22" ht="21" customHeight="1">
      <c r="B11" s="398" t="s">
        <v>294</v>
      </c>
      <c r="C11" s="495"/>
      <c r="D11" s="499"/>
      <c r="E11" s="450"/>
      <c r="F11" s="529"/>
      <c r="G11" s="450"/>
      <c r="H11" s="450"/>
      <c r="I11" s="471"/>
      <c r="J11" s="450"/>
      <c r="K11" s="450"/>
      <c r="L11" s="479"/>
      <c r="M11" s="528"/>
      <c r="P11"/>
      <c r="Q11"/>
      <c r="R11"/>
      <c r="S11"/>
      <c r="T11"/>
      <c r="U11"/>
      <c r="V11"/>
    </row>
    <row r="12" spans="1:22" ht="21" customHeight="1">
      <c r="B12" s="398" t="s">
        <v>295</v>
      </c>
      <c r="C12" s="495"/>
      <c r="D12" s="499"/>
      <c r="E12" s="450"/>
      <c r="F12" s="529"/>
      <c r="G12" s="450"/>
      <c r="H12" s="450"/>
      <c r="I12" s="471"/>
      <c r="J12" s="450"/>
      <c r="K12" s="450"/>
      <c r="L12" s="479"/>
      <c r="M12" s="528"/>
      <c r="P12"/>
      <c r="Q12"/>
      <c r="R12"/>
      <c r="S12"/>
      <c r="T12"/>
      <c r="U12"/>
      <c r="V12"/>
    </row>
    <row r="13" spans="1:22" ht="21" customHeight="1">
      <c r="B13" s="398" t="s">
        <v>296</v>
      </c>
      <c r="C13" s="495"/>
      <c r="D13" s="499"/>
      <c r="E13" s="450"/>
      <c r="F13" s="529"/>
      <c r="G13" s="450"/>
      <c r="H13" s="450"/>
      <c r="I13" s="471"/>
      <c r="J13" s="450"/>
      <c r="K13" s="450"/>
      <c r="L13" s="479"/>
      <c r="M13" s="528"/>
      <c r="P13"/>
      <c r="Q13"/>
      <c r="R13"/>
      <c r="S13"/>
      <c r="T13"/>
      <c r="U13"/>
      <c r="V13"/>
    </row>
    <row r="14" spans="1:22" ht="21" customHeight="1">
      <c r="B14" s="398" t="s">
        <v>297</v>
      </c>
      <c r="C14" s="495"/>
      <c r="D14" s="499"/>
      <c r="E14" s="453"/>
      <c r="F14" s="530"/>
      <c r="G14" s="453"/>
      <c r="H14" s="453"/>
      <c r="I14" s="474"/>
      <c r="J14" s="450"/>
      <c r="K14" s="450"/>
      <c r="L14" s="479"/>
      <c r="M14" s="528"/>
      <c r="P14"/>
      <c r="Q14"/>
      <c r="R14"/>
      <c r="S14"/>
      <c r="T14"/>
      <c r="U14"/>
      <c r="V14"/>
    </row>
    <row r="15" spans="1:22" ht="21" customHeight="1">
      <c r="A15" s="1367" t="s">
        <v>3167</v>
      </c>
      <c r="B15" s="398" t="s">
        <v>298</v>
      </c>
      <c r="C15" s="531"/>
      <c r="D15" s="532"/>
      <c r="E15" s="450"/>
      <c r="F15" s="529"/>
      <c r="G15" s="450"/>
      <c r="H15" s="450"/>
      <c r="I15" s="471"/>
      <c r="J15" s="450"/>
      <c r="K15" s="450"/>
      <c r="L15" s="479"/>
      <c r="M15" s="528"/>
      <c r="P15"/>
      <c r="Q15"/>
      <c r="R15"/>
      <c r="S15"/>
      <c r="T15"/>
      <c r="U15"/>
      <c r="V15"/>
    </row>
    <row r="16" spans="1:22" ht="21" customHeight="1">
      <c r="A16" s="1367"/>
      <c r="B16" s="398" t="s">
        <v>384</v>
      </c>
      <c r="C16" s="495"/>
      <c r="D16" s="499"/>
      <c r="E16" s="450"/>
      <c r="F16" s="529"/>
      <c r="G16" s="450"/>
      <c r="H16" s="450"/>
      <c r="I16" s="471"/>
      <c r="J16" s="450"/>
      <c r="K16" s="450"/>
      <c r="L16" s="479"/>
      <c r="M16" s="528"/>
      <c r="P16"/>
      <c r="Q16"/>
      <c r="R16"/>
      <c r="S16"/>
      <c r="T16"/>
      <c r="U16"/>
      <c r="V16"/>
    </row>
    <row r="17" spans="1:22" ht="21" customHeight="1">
      <c r="A17" s="1367"/>
      <c r="B17" s="398" t="s">
        <v>385</v>
      </c>
      <c r="C17" s="495"/>
      <c r="D17" s="499"/>
      <c r="E17" s="450"/>
      <c r="F17" s="529"/>
      <c r="G17" s="450"/>
      <c r="H17" s="450"/>
      <c r="I17" s="471"/>
      <c r="J17" s="450"/>
      <c r="K17" s="450"/>
      <c r="L17" s="479"/>
      <c r="M17" s="528"/>
      <c r="P17"/>
      <c r="Q17"/>
      <c r="R17"/>
      <c r="S17"/>
      <c r="T17"/>
      <c r="U17"/>
      <c r="V17"/>
    </row>
    <row r="18" spans="1:22" ht="21" customHeight="1">
      <c r="A18" s="397"/>
      <c r="B18" s="538" t="s">
        <v>786</v>
      </c>
      <c r="C18" s="248"/>
      <c r="D18" s="312"/>
      <c r="E18" s="533">
        <f>SUM(E9:E17)+'50-Utility4'!E18</f>
        <v>0</v>
      </c>
      <c r="F18" s="534"/>
      <c r="G18" s="533">
        <f>SUM(G9:G17)+'50-Utility4'!G18</f>
        <v>0</v>
      </c>
      <c r="H18" s="533"/>
      <c r="I18" s="535"/>
      <c r="J18" s="533">
        <f>SUM(J9:J17)+'50-Utility4'!J18</f>
        <v>0</v>
      </c>
      <c r="K18" s="533">
        <f>SUM(K9:K17)+'50-Utility4'!K18</f>
        <v>0</v>
      </c>
      <c r="L18" s="536"/>
      <c r="M18" s="537"/>
      <c r="P18"/>
      <c r="Q18"/>
      <c r="R18"/>
      <c r="S18"/>
      <c r="T18"/>
      <c r="U18"/>
      <c r="V18"/>
    </row>
    <row r="19" spans="1:22" ht="21" customHeight="1">
      <c r="A19" s="397"/>
      <c r="B19" s="368"/>
      <c r="E19" s="908"/>
      <c r="G19" s="908"/>
      <c r="H19" s="908"/>
      <c r="I19" s="909"/>
      <c r="J19" s="908"/>
      <c r="K19" s="908"/>
      <c r="L19" s="908"/>
      <c r="P19"/>
      <c r="Q19"/>
      <c r="R19"/>
      <c r="S19"/>
      <c r="T19"/>
      <c r="U19"/>
      <c r="V19"/>
    </row>
    <row r="20" spans="1:22" ht="21" customHeight="1">
      <c r="A20" s="397"/>
      <c r="B20" s="368"/>
      <c r="E20" s="908"/>
      <c r="G20" s="908"/>
      <c r="H20" s="908"/>
      <c r="I20" s="909"/>
      <c r="J20" s="908"/>
      <c r="K20" s="908"/>
      <c r="L20" s="908"/>
      <c r="P20"/>
      <c r="Q20"/>
      <c r="R20"/>
      <c r="S20"/>
      <c r="T20"/>
      <c r="U20"/>
      <c r="V20"/>
    </row>
    <row r="21" spans="1:22" ht="13.5" customHeight="1" thickBot="1">
      <c r="B21" s="394"/>
      <c r="C21" s="309"/>
      <c r="D21" s="393"/>
      <c r="J21" s="385"/>
      <c r="P21"/>
      <c r="Q21"/>
      <c r="R21"/>
      <c r="S21"/>
      <c r="T21"/>
      <c r="U21"/>
      <c r="V21"/>
    </row>
    <row r="22" spans="1:22" ht="14.4" thickTop="1" thickBot="1">
      <c r="B22" s="361" t="s">
        <v>40</v>
      </c>
      <c r="C22" s="385"/>
      <c r="D22" s="392"/>
      <c r="E22" s="385"/>
      <c r="I22" s="1428" t="str">
        <f>"INTEREST  ON  NOTES  -  "&amp;UPPER('KEY INPUTS'!D57)&amp;" UTILITY  BUDGET"</f>
        <v>INTEREST  ON  NOTES  -   UTILITY  BUDGET</v>
      </c>
      <c r="J22" s="1429"/>
      <c r="K22" s="1429"/>
      <c r="L22" s="1429"/>
      <c r="M22" s="1430"/>
      <c r="P22"/>
      <c r="Q22"/>
      <c r="R22"/>
      <c r="S22"/>
      <c r="T22"/>
      <c r="U22"/>
      <c r="V22"/>
    </row>
    <row r="23" spans="1:22" ht="15.6" customHeight="1">
      <c r="B23" s="386" t="s">
        <v>41</v>
      </c>
      <c r="C23" s="386"/>
      <c r="D23" s="361" t="s">
        <v>3577</v>
      </c>
      <c r="E23" s="385"/>
      <c r="I23" s="391" t="str">
        <f>IF('KEY INPUTS'!C42="State Fiscal Year","Fiscal Year "&amp;'KEY INPUTS'!D33+1&amp;"",'KEY INPUTS'!D34+1)&amp;" Interest on Notes"</f>
        <v>2025 Interest on Notes</v>
      </c>
      <c r="J23" s="357"/>
      <c r="K23" s="357"/>
      <c r="L23" s="390" t="s">
        <v>373</v>
      </c>
      <c r="M23" s="843">
        <f>K18</f>
        <v>0</v>
      </c>
      <c r="P23"/>
      <c r="Q23"/>
      <c r="R23"/>
      <c r="S23"/>
      <c r="T23"/>
      <c r="U23"/>
      <c r="V23"/>
    </row>
    <row r="24" spans="1:22" ht="15.6" customHeight="1">
      <c r="B24" s="361"/>
      <c r="C24" s="361"/>
      <c r="D24" s="386" t="s">
        <v>42</v>
      </c>
      <c r="E24" s="385"/>
      <c r="I24" s="376" t="str">
        <f>"Less: Interest Accrued to "&amp;IF('KEY INPUTS'!C42="State Fiscal Year",(TEXT('KEY INPUTS'!F29,"mm/dd/yyy")),(TEXT('KEY INPUTS'!D29,"mm/dd/yyy")))&amp;" (Trial Balance)"</f>
        <v>Less: Interest Accrued to 12/31/2024 (Trial Balance)</v>
      </c>
      <c r="J24" s="248"/>
      <c r="K24" s="248"/>
      <c r="L24" s="389" t="s">
        <v>373</v>
      </c>
      <c r="M24" s="517"/>
      <c r="P24"/>
      <c r="Q24"/>
      <c r="R24"/>
      <c r="S24"/>
      <c r="T24"/>
      <c r="U24"/>
      <c r="V24"/>
    </row>
    <row r="25" spans="1:22" ht="15.6" customHeight="1">
      <c r="B25" s="361"/>
      <c r="C25" s="361"/>
      <c r="D25" s="361" t="s">
        <v>43</v>
      </c>
      <c r="E25" s="385"/>
      <c r="I25" s="376"/>
      <c r="J25" s="248" t="s">
        <v>317</v>
      </c>
      <c r="K25" s="248"/>
      <c r="L25" s="389" t="s">
        <v>373</v>
      </c>
      <c r="M25" s="844">
        <f>+M23-M24</f>
        <v>0</v>
      </c>
    </row>
    <row r="26" spans="1:22" ht="15.6" customHeight="1">
      <c r="B26" s="361"/>
      <c r="C26" s="361"/>
      <c r="D26" s="361" t="str">
        <f>"All notes with an original date of issue of "&amp;IF('KEY INPUTS'!C42="State Fiscal Year","FY "&amp;'KEY INPUTS'!D33-2&amp;"",'KEY INPUTS'!D34-2)&amp;" or prior require one legally payable installment to be budgeted if"</f>
        <v>All notes with an original date of issue of 2022 or prior require one legally payable installment to be budgeted if</v>
      </c>
      <c r="E26" s="385"/>
      <c r="I26" s="376" t="str">
        <f>"Add: Interest to be Accrued as of "&amp;IF('KEY INPUTS'!C42="State Fiscal Year",(TEXT('KEY INPUTS'!F30,"mm/dd/yyy")),(TEXT('KEY INPUTS'!D30,"mm/dd/yyy")))&amp;""</f>
        <v>Add: Interest to be Accrued as of 12/31/2025</v>
      </c>
      <c r="J26" s="248"/>
      <c r="K26" s="248"/>
      <c r="L26" s="389" t="s">
        <v>373</v>
      </c>
      <c r="M26" s="517"/>
    </row>
    <row r="27" spans="1:22" ht="15.6" customHeight="1" thickBot="1">
      <c r="B27" s="361"/>
      <c r="C27" s="361"/>
      <c r="D27" s="361" t="str">
        <f>"it is contemplated that such notes will be renewed in "&amp;IF('KEY INPUTS'!C42="State Fiscal Year","FY "&amp;'KEY INPUTS'!D33+1&amp;"",'KEY INPUTS'!D34+1)&amp;" or written intent of permanent financing submitted."</f>
        <v>it is contemplated that such notes will be renewed in 2025 or written intent of permanent financing submitted.</v>
      </c>
      <c r="E27" s="385"/>
      <c r="I27" s="315" t="str">
        <f>"Required Appropriation "&amp;IF('KEY INPUTS'!C42="State Fiscal Year","Fiscal Year "&amp;'KEY INPUTS'!D33+1&amp;"",'KEY INPUTS'!D34+1)&amp;""</f>
        <v>Required Appropriation 2025</v>
      </c>
      <c r="J27" s="318"/>
      <c r="K27" s="318"/>
      <c r="L27" s="388" t="s">
        <v>373</v>
      </c>
      <c r="M27" s="845">
        <f>+M25+M26</f>
        <v>0</v>
      </c>
    </row>
    <row r="28" spans="1:22" ht="13.8" thickTop="1">
      <c r="B28" s="361"/>
      <c r="C28" s="361"/>
      <c r="D28" s="361" t="s">
        <v>44</v>
      </c>
      <c r="E28" s="385"/>
    </row>
    <row r="29" spans="1:22">
      <c r="B29" s="385"/>
      <c r="C29" s="385"/>
      <c r="D29" s="386" t="s">
        <v>45</v>
      </c>
      <c r="E29" s="385"/>
    </row>
    <row r="30" spans="1:22">
      <c r="J30" s="385" t="s">
        <v>98</v>
      </c>
    </row>
  </sheetData>
  <sheetProtection algorithmName="SHA-512" hashValue="ZIsS5JHF2YKh9IJtR7XCULUlFRW/IKQCwpJ1b6VOTJV77wJmbu64dFkvNkWyqkFy5eduMEm9Fkb+c7/SUuJ7HA==" saltValue="nLj5GS7142iROnuG0vZfcw=="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953ED-13C6-44B4-96C9-61028FF0B175}">
  <sheetPr codeName="Sheet238">
    <tabColor theme="2" tint="-0.249977111117893"/>
  </sheetPr>
  <dimension ref="A2:T29"/>
  <sheetViews>
    <sheetView zoomScaleNormal="100" zoomScaleSheetLayoutView="80" workbookViewId="0">
      <selection activeCell="C27" sqref="C27"/>
    </sheetView>
  </sheetViews>
  <sheetFormatPr defaultColWidth="9.109375" defaultRowHeight="13.2"/>
  <cols>
    <col min="1" max="1" width="5.6640625" style="267" customWidth="1"/>
    <col min="2" max="3" width="4.88671875" style="267" customWidth="1"/>
    <col min="4" max="4" width="31.5546875" style="267" customWidth="1"/>
    <col min="5" max="12" width="15.6640625" style="267" customWidth="1"/>
    <col min="13" max="16384" width="9.109375" style="267"/>
  </cols>
  <sheetData>
    <row r="2" spans="1:20" ht="20.399999999999999">
      <c r="B2" s="1363" t="str">
        <f>"DEBT  SERVICE  SCHEDULE  FOR  "&amp;UPPER('KEY INPUTS'!D57) &amp;"  UTILITY  ASSESSMENT  NOTES"</f>
        <v>DEBT  SERVICE  SCHEDULE  FOR    UTILITY  ASSESSMENT  NOTES</v>
      </c>
      <c r="C2" s="1363"/>
      <c r="D2" s="1363"/>
      <c r="E2" s="1363"/>
      <c r="F2" s="1363"/>
      <c r="G2" s="1363"/>
      <c r="H2" s="1363"/>
      <c r="I2" s="1363"/>
      <c r="J2" s="1363"/>
      <c r="K2" s="1363"/>
      <c r="L2" s="1363"/>
    </row>
    <row r="3" spans="1:20" ht="21" thickBot="1">
      <c r="B3" s="1363"/>
      <c r="C3" s="1363"/>
      <c r="D3" s="1363"/>
      <c r="E3" s="1363"/>
      <c r="F3" s="1363"/>
      <c r="G3" s="1363"/>
      <c r="H3" s="1363"/>
      <c r="I3" s="1363"/>
      <c r="J3" s="1363"/>
      <c r="K3" s="1363"/>
      <c r="L3" s="1363"/>
    </row>
    <row r="4" spans="1:20" ht="13.5" customHeight="1" thickTop="1">
      <c r="B4" s="1433"/>
      <c r="C4" s="1433"/>
      <c r="D4" s="1434"/>
      <c r="E4" s="324"/>
      <c r="F4" s="324"/>
      <c r="G4" s="324"/>
      <c r="H4" s="324"/>
      <c r="I4" s="324"/>
      <c r="J4" s="323"/>
      <c r="K4" s="323"/>
      <c r="L4" s="322"/>
    </row>
    <row r="5" spans="1:20" ht="13.5" customHeight="1">
      <c r="E5" s="320" t="s">
        <v>139</v>
      </c>
      <c r="F5" s="319" t="s">
        <v>139</v>
      </c>
      <c r="G5" s="319" t="s">
        <v>414</v>
      </c>
      <c r="H5" s="319" t="s">
        <v>17</v>
      </c>
      <c r="I5" s="319" t="s">
        <v>542</v>
      </c>
      <c r="J5" s="1423" t="str">
        <f>IF('KEY INPUTS'!C42="State Fiscal Year","Fiscal Year "&amp;'KEY INPUTS'!D33+1&amp;"",'KEY INPUTS'!D34+1)&amp;""</f>
        <v>2025</v>
      </c>
      <c r="K5" s="1424"/>
      <c r="L5" s="321" t="s">
        <v>543</v>
      </c>
    </row>
    <row r="6" spans="1:20" ht="13.5" customHeight="1">
      <c r="C6" s="1352" t="s">
        <v>138</v>
      </c>
      <c r="D6" s="1427"/>
      <c r="E6" s="320" t="s">
        <v>414</v>
      </c>
      <c r="F6" s="319" t="s">
        <v>140</v>
      </c>
      <c r="G6" s="319" t="s">
        <v>539</v>
      </c>
      <c r="H6" s="319" t="s">
        <v>540</v>
      </c>
      <c r="I6" s="319" t="s">
        <v>540</v>
      </c>
      <c r="J6" s="1425"/>
      <c r="K6" s="1426"/>
      <c r="L6" s="321" t="s">
        <v>546</v>
      </c>
    </row>
    <row r="7" spans="1:20" ht="13.5" customHeight="1">
      <c r="E7" s="320" t="s">
        <v>92</v>
      </c>
      <c r="F7" s="320" t="s">
        <v>141</v>
      </c>
      <c r="G7" s="320" t="s">
        <v>198</v>
      </c>
      <c r="H7" s="320" t="s">
        <v>541</v>
      </c>
      <c r="I7" s="320" t="s">
        <v>543</v>
      </c>
      <c r="J7" s="320" t="s">
        <v>113</v>
      </c>
      <c r="K7" s="320" t="s">
        <v>544</v>
      </c>
      <c r="L7" s="321" t="s">
        <v>547</v>
      </c>
      <c r="N7"/>
      <c r="O7"/>
      <c r="P7"/>
      <c r="Q7"/>
      <c r="R7"/>
      <c r="S7"/>
      <c r="T7"/>
    </row>
    <row r="8" spans="1:20" ht="13.5" customHeight="1" thickBot="1">
      <c r="B8" s="318"/>
      <c r="C8" s="318"/>
      <c r="D8" s="318"/>
      <c r="E8" s="316"/>
      <c r="F8" s="316"/>
      <c r="G8" s="605" t="str">
        <f>IF('KEY INPUTS'!C42 = "State Fiscal Year", 'KEY INPUTS'!F47,'KEY INPUTS'!D47)</f>
        <v>Dec. 31, 2024</v>
      </c>
      <c r="H8" s="316"/>
      <c r="I8" s="316"/>
      <c r="J8" s="317"/>
      <c r="K8" s="402" t="s">
        <v>545</v>
      </c>
      <c r="L8" s="314"/>
      <c r="N8"/>
      <c r="O8"/>
      <c r="P8"/>
      <c r="Q8"/>
      <c r="R8"/>
      <c r="S8"/>
      <c r="T8"/>
    </row>
    <row r="9" spans="1:20" ht="21" customHeight="1" thickTop="1">
      <c r="B9" s="1435"/>
      <c r="C9" s="1435"/>
      <c r="D9" s="1436"/>
      <c r="E9" s="454"/>
      <c r="F9" s="539"/>
      <c r="G9" s="454"/>
      <c r="H9" s="454"/>
      <c r="I9" s="606"/>
      <c r="J9" s="454"/>
      <c r="K9" s="454"/>
      <c r="L9" s="540"/>
      <c r="N9" s="294"/>
      <c r="O9"/>
      <c r="P9"/>
      <c r="Q9"/>
      <c r="R9"/>
      <c r="S9"/>
      <c r="T9"/>
    </row>
    <row r="10" spans="1:20" ht="21" customHeight="1">
      <c r="B10" s="1431"/>
      <c r="C10" s="1431"/>
      <c r="D10" s="1432"/>
      <c r="E10" s="450"/>
      <c r="F10" s="529"/>
      <c r="G10" s="450"/>
      <c r="H10" s="450"/>
      <c r="I10" s="471"/>
      <c r="J10" s="450"/>
      <c r="K10" s="450"/>
      <c r="L10" s="541"/>
      <c r="N10"/>
      <c r="O10"/>
      <c r="P10"/>
      <c r="Q10"/>
      <c r="R10"/>
      <c r="S10"/>
      <c r="T10"/>
    </row>
    <row r="11" spans="1:20" ht="21" customHeight="1">
      <c r="B11" s="1431"/>
      <c r="C11" s="1431"/>
      <c r="D11" s="1432"/>
      <c r="E11" s="450"/>
      <c r="F11" s="529"/>
      <c r="G11" s="450"/>
      <c r="H11" s="450"/>
      <c r="I11" s="471"/>
      <c r="J11" s="450"/>
      <c r="K11" s="450"/>
      <c r="L11" s="541"/>
      <c r="N11"/>
      <c r="O11"/>
      <c r="P11"/>
      <c r="Q11"/>
      <c r="R11"/>
      <c r="S11"/>
      <c r="T11"/>
    </row>
    <row r="12" spans="1:20" ht="21" customHeight="1">
      <c r="B12" s="1431"/>
      <c r="C12" s="1431"/>
      <c r="D12" s="1432"/>
      <c r="E12" s="450"/>
      <c r="F12" s="529"/>
      <c r="G12" s="450"/>
      <c r="H12" s="450"/>
      <c r="I12" s="471"/>
      <c r="J12" s="450"/>
      <c r="K12" s="450"/>
      <c r="L12" s="541"/>
      <c r="N12"/>
      <c r="O12"/>
      <c r="P12"/>
      <c r="Q12"/>
      <c r="R12"/>
      <c r="S12"/>
      <c r="T12"/>
    </row>
    <row r="13" spans="1:20" ht="21" customHeight="1">
      <c r="B13" s="1431"/>
      <c r="C13" s="1431"/>
      <c r="D13" s="1432"/>
      <c r="E13" s="450"/>
      <c r="F13" s="529"/>
      <c r="G13" s="450"/>
      <c r="H13" s="450"/>
      <c r="I13" s="471"/>
      <c r="J13" s="450"/>
      <c r="K13" s="450"/>
      <c r="L13" s="541"/>
      <c r="N13"/>
      <c r="O13"/>
      <c r="P13"/>
      <c r="Q13"/>
      <c r="R13"/>
      <c r="S13"/>
      <c r="T13"/>
    </row>
    <row r="14" spans="1:20" ht="21" customHeight="1">
      <c r="B14" s="1431"/>
      <c r="C14" s="1431"/>
      <c r="D14" s="1432"/>
      <c r="E14" s="453"/>
      <c r="F14" s="530"/>
      <c r="G14" s="453"/>
      <c r="H14" s="453"/>
      <c r="I14" s="474"/>
      <c r="J14" s="450"/>
      <c r="K14" s="450"/>
      <c r="L14" s="541"/>
      <c r="N14"/>
      <c r="O14"/>
      <c r="P14"/>
      <c r="Q14"/>
      <c r="R14"/>
      <c r="S14"/>
      <c r="T14"/>
    </row>
    <row r="15" spans="1:20" ht="21" customHeight="1">
      <c r="A15" s="1367" t="s">
        <v>3168</v>
      </c>
      <c r="B15" s="1431"/>
      <c r="C15" s="1431"/>
      <c r="D15" s="1432"/>
      <c r="E15" s="450"/>
      <c r="F15" s="529"/>
      <c r="G15" s="450"/>
      <c r="H15" s="450"/>
      <c r="I15" s="471"/>
      <c r="J15" s="450"/>
      <c r="K15" s="450"/>
      <c r="L15" s="541"/>
      <c r="N15"/>
      <c r="O15"/>
      <c r="P15"/>
      <c r="Q15"/>
      <c r="R15"/>
      <c r="S15"/>
      <c r="T15"/>
    </row>
    <row r="16" spans="1:20" ht="21" customHeight="1">
      <c r="A16" s="1367"/>
      <c r="B16" s="1431"/>
      <c r="C16" s="1431"/>
      <c r="D16" s="1432"/>
      <c r="E16" s="450"/>
      <c r="F16" s="529"/>
      <c r="G16" s="450"/>
      <c r="H16" s="450"/>
      <c r="I16" s="471"/>
      <c r="J16" s="450"/>
      <c r="K16" s="450"/>
      <c r="L16" s="541"/>
      <c r="N16"/>
      <c r="O16"/>
      <c r="P16"/>
      <c r="Q16"/>
      <c r="R16"/>
      <c r="S16"/>
      <c r="T16"/>
    </row>
    <row r="17" spans="1:20" ht="21" customHeight="1">
      <c r="A17" s="1367"/>
      <c r="B17" s="1431"/>
      <c r="C17" s="1431"/>
      <c r="D17" s="1432"/>
      <c r="E17" s="450"/>
      <c r="F17" s="529"/>
      <c r="G17" s="450"/>
      <c r="H17" s="450"/>
      <c r="I17" s="471"/>
      <c r="J17" s="450"/>
      <c r="K17" s="450"/>
      <c r="L17" s="541"/>
      <c r="N17"/>
      <c r="O17"/>
      <c r="P17"/>
      <c r="Q17"/>
      <c r="R17"/>
      <c r="S17"/>
      <c r="T17"/>
    </row>
    <row r="18" spans="1:20" ht="21" customHeight="1">
      <c r="A18" s="397"/>
      <c r="B18" s="1431"/>
      <c r="C18" s="1431"/>
      <c r="D18" s="1432"/>
      <c r="E18" s="450"/>
      <c r="F18" s="529"/>
      <c r="G18" s="450"/>
      <c r="H18" s="450"/>
      <c r="I18" s="471"/>
      <c r="J18" s="450"/>
      <c r="K18" s="450"/>
      <c r="L18" s="541"/>
      <c r="N18"/>
      <c r="O18"/>
      <c r="P18"/>
      <c r="Q18"/>
      <c r="R18"/>
      <c r="S18"/>
      <c r="T18"/>
    </row>
    <row r="19" spans="1:20" ht="21" customHeight="1">
      <c r="B19" s="1431"/>
      <c r="C19" s="1431"/>
      <c r="D19" s="1432"/>
      <c r="E19" s="450"/>
      <c r="F19" s="529"/>
      <c r="G19" s="450"/>
      <c r="H19" s="450"/>
      <c r="I19" s="471"/>
      <c r="J19" s="450"/>
      <c r="K19" s="450"/>
      <c r="L19" s="541"/>
      <c r="N19"/>
      <c r="O19"/>
      <c r="P19"/>
      <c r="Q19"/>
      <c r="R19"/>
      <c r="S19"/>
      <c r="T19"/>
    </row>
    <row r="20" spans="1:20" ht="21" customHeight="1">
      <c r="B20" s="1431"/>
      <c r="C20" s="1431"/>
      <c r="D20" s="1432"/>
      <c r="E20" s="450"/>
      <c r="F20" s="529"/>
      <c r="G20" s="450"/>
      <c r="H20" s="450"/>
      <c r="I20" s="471"/>
      <c r="J20" s="450"/>
      <c r="K20" s="450"/>
      <c r="L20" s="541"/>
      <c r="N20"/>
      <c r="O20"/>
      <c r="P20"/>
      <c r="Q20"/>
      <c r="R20"/>
      <c r="S20"/>
      <c r="T20"/>
    </row>
    <row r="21" spans="1:20" ht="21" customHeight="1">
      <c r="B21" s="1431"/>
      <c r="C21" s="1431"/>
      <c r="D21" s="1432"/>
      <c r="E21" s="450"/>
      <c r="F21" s="529"/>
      <c r="G21" s="450"/>
      <c r="H21" s="450"/>
      <c r="I21" s="471"/>
      <c r="J21" s="450"/>
      <c r="K21" s="450"/>
      <c r="L21" s="541"/>
      <c r="N21"/>
      <c r="O21"/>
      <c r="P21"/>
      <c r="Q21"/>
      <c r="R21"/>
      <c r="S21"/>
      <c r="T21"/>
    </row>
    <row r="22" spans="1:20" ht="21" customHeight="1">
      <c r="B22" s="1431"/>
      <c r="C22" s="1431"/>
      <c r="D22" s="1432"/>
      <c r="E22" s="450"/>
      <c r="F22" s="529"/>
      <c r="G22" s="450"/>
      <c r="H22" s="450"/>
      <c r="I22" s="471"/>
      <c r="J22" s="450"/>
      <c r="K22" s="450"/>
      <c r="L22" s="541"/>
      <c r="N22"/>
      <c r="O22"/>
      <c r="P22"/>
      <c r="Q22"/>
      <c r="R22"/>
      <c r="S22"/>
      <c r="T22"/>
    </row>
    <row r="23" spans="1:20" ht="21" customHeight="1" thickBot="1">
      <c r="B23" s="952"/>
      <c r="C23" s="953"/>
      <c r="D23" s="954"/>
      <c r="E23" s="910">
        <f>SUM(E9:E22)</f>
        <v>0</v>
      </c>
      <c r="F23" s="922"/>
      <c r="G23" s="910">
        <f>SUM(G9:G22)</f>
        <v>0</v>
      </c>
      <c r="H23" s="910"/>
      <c r="I23" s="910"/>
      <c r="J23" s="910">
        <f>SUM(J9:J22)</f>
        <v>0</v>
      </c>
      <c r="K23" s="910">
        <f>SUM(K9:K22)</f>
        <v>0</v>
      </c>
      <c r="L23" s="923"/>
      <c r="N23"/>
      <c r="O23"/>
      <c r="P23"/>
      <c r="Q23"/>
      <c r="R23"/>
      <c r="S23"/>
      <c r="T23"/>
    </row>
    <row r="24" spans="1:20" ht="13.5" customHeight="1" thickTop="1">
      <c r="B24" s="856" t="s">
        <v>40</v>
      </c>
      <c r="C24" s="392"/>
      <c r="D24" s="857"/>
      <c r="J24" s="347"/>
      <c r="K24" s="347"/>
    </row>
    <row r="25" spans="1:20" ht="13.5" customHeight="1">
      <c r="B25" s="856" t="s">
        <v>549</v>
      </c>
      <c r="C25" s="392"/>
      <c r="D25" s="857"/>
    </row>
    <row r="26" spans="1:20" ht="13.5" customHeight="1">
      <c r="B26" s="856"/>
      <c r="C26" s="392" t="str">
        <f>"Utility Assessment Notes with an original date of issue of "&amp;IF('KEY INPUTS'!C42="State Fiscal Year","June 30, "&amp;'KEY INPUTS'!D33-2&amp;"","December 31, "&amp;'KEY INPUTS'!D34-2&amp;"")&amp;" or prior must be appropriated in full in the "&amp;IF('KEY INPUTS'!C42="State Fiscal Year","FY "&amp;'KEY INPUTS'!D33+1&amp;"",'KEY INPUTS'!D33+1)&amp;" Dedicated Utility Assessment Budget or written intent of"</f>
        <v>Utility Assessment Notes with an original date of issue of December 31, 2022 or prior must be appropriated in full in the 2026 Dedicated Utility Assessment Budget or written intent of</v>
      </c>
      <c r="D26" s="857"/>
    </row>
    <row r="27" spans="1:20" ht="13.5" customHeight="1">
      <c r="B27" s="856"/>
      <c r="C27" s="392"/>
      <c r="D27" s="858" t="s">
        <v>502</v>
      </c>
    </row>
    <row r="28" spans="1:20" ht="13.5" customHeight="1">
      <c r="B28" s="856"/>
      <c r="C28" s="392" t="s">
        <v>302</v>
      </c>
      <c r="D28" s="857"/>
      <c r="J28" s="385"/>
    </row>
    <row r="29" spans="1:20">
      <c r="B29" s="400"/>
      <c r="C29" s="309"/>
      <c r="D29" s="309"/>
    </row>
  </sheetData>
  <sheetProtection algorithmName="SHA-512" hashValue="4UIW7qq0Kojrdeh/AS8EwpRNgBu16ww4+MLZrKZZ4PltQ8guebfGikN1hW5rRDPLtuJ4lMltYUTxljJr9KtXYA==" saltValue="7LhNRmYWU906GaMtc4xJgQ==" spinCount="100000" sheet="1" objects="1" scenarios="1"/>
  <mergeCells count="20">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s>
  <pageMargins left="0.25" right="0.25" top="0.5" bottom="0.5" header="0.25" footer="0.25"/>
  <pageSetup paperSize="5" orientation="landscape" r:id="rId1"/>
  <headerFooter alignWithMargins="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363FD-E1EE-4C7D-8D68-722335130E47}">
  <sheetPr codeName="Sheet239">
    <tabColor theme="2" tint="-0.249977111117893"/>
  </sheetPr>
  <dimension ref="A2:R27"/>
  <sheetViews>
    <sheetView zoomScaleNormal="100" zoomScaleSheetLayoutView="80" workbookViewId="0">
      <selection activeCell="H7" sqref="H7"/>
    </sheetView>
  </sheetViews>
  <sheetFormatPr defaultColWidth="9.109375" defaultRowHeight="13.2"/>
  <cols>
    <col min="1" max="1" width="5.6640625" style="267" customWidth="1"/>
    <col min="2" max="3" width="4.88671875" style="267" customWidth="1"/>
    <col min="4" max="4" width="35.88671875" style="267" customWidth="1"/>
    <col min="5" max="6" width="15.6640625" style="267" customWidth="1"/>
    <col min="7" max="9" width="30.6640625" style="267" customWidth="1"/>
    <col min="10" max="16384" width="9.109375" style="267"/>
  </cols>
  <sheetData>
    <row r="2" spans="1:18" ht="20.399999999999999">
      <c r="B2" s="1363" t="str">
        <f>"SCHEDULE  OF  CAPITAL  LEASE  PROGRAM  OBLIGATIONS "&amp;UPPER('KEY INPUTS'!D57)&amp;"  UTILITY"</f>
        <v>SCHEDULE  OF  CAPITAL  LEASE  PROGRAM  OBLIGATIONS   UTILITY</v>
      </c>
      <c r="C2" s="1363"/>
      <c r="D2" s="1363"/>
      <c r="E2" s="1363"/>
      <c r="F2" s="1363"/>
      <c r="G2" s="1363"/>
      <c r="H2" s="1363"/>
      <c r="I2" s="1363"/>
    </row>
    <row r="3" spans="1:18" ht="21" thickBot="1">
      <c r="B3" s="1363"/>
      <c r="C3" s="1363"/>
      <c r="D3" s="1363"/>
      <c r="E3" s="1363"/>
      <c r="F3" s="1363"/>
      <c r="G3" s="1363"/>
      <c r="H3" s="1363"/>
      <c r="I3" s="1363"/>
    </row>
    <row r="4" spans="1:18" ht="13.5" customHeight="1" thickTop="1">
      <c r="B4" s="1433"/>
      <c r="C4" s="1433"/>
      <c r="D4" s="1433"/>
      <c r="E4" s="1433"/>
      <c r="F4" s="1434"/>
      <c r="G4" s="859"/>
      <c r="H4" s="323"/>
      <c r="I4" s="847"/>
    </row>
    <row r="5" spans="1:18" ht="13.5" customHeight="1">
      <c r="E5" s="302"/>
      <c r="F5" s="302"/>
      <c r="G5" s="319" t="s">
        <v>414</v>
      </c>
      <c r="H5" s="1423" t="str">
        <f>IF('KEY INPUTS'!C42="State Fiscal Year","Fiscal Year "&amp;'KEY INPUTS'!D33+1&amp;"",'KEY INPUTS'!D34+1)&amp;" Budget Requirements"</f>
        <v>2025 Budget Requirements</v>
      </c>
      <c r="I5" s="1437"/>
      <c r="J5" s="592"/>
    </row>
    <row r="6" spans="1:18" ht="13.5" customHeight="1">
      <c r="C6" s="1352" t="s">
        <v>413</v>
      </c>
      <c r="D6" s="1352"/>
      <c r="E6" s="302"/>
      <c r="F6" s="302"/>
      <c r="G6" s="319" t="s">
        <v>430</v>
      </c>
      <c r="H6" s="1438"/>
      <c r="I6" s="1439"/>
      <c r="J6" s="592"/>
    </row>
    <row r="7" spans="1:18" ht="13.5" customHeight="1">
      <c r="E7" s="302"/>
      <c r="F7" s="860"/>
      <c r="G7" s="861" t="str">
        <f>IF('KEY INPUTS'!C42 = "State Fiscal Year", 'KEY INPUTS'!F47,'KEY INPUTS'!D47)</f>
        <v>Dec. 31, 2024</v>
      </c>
      <c r="H7" s="320" t="s">
        <v>3170</v>
      </c>
      <c r="I7" s="321" t="s">
        <v>431</v>
      </c>
      <c r="L7"/>
      <c r="M7"/>
      <c r="N7"/>
      <c r="O7"/>
      <c r="P7"/>
      <c r="Q7"/>
      <c r="R7"/>
    </row>
    <row r="8" spans="1:18" ht="13.5" customHeight="1" thickBot="1">
      <c r="B8" s="318"/>
      <c r="C8" s="318"/>
      <c r="D8" s="318"/>
      <c r="E8" s="318"/>
      <c r="F8" s="404"/>
      <c r="G8" s="862"/>
      <c r="H8" s="317"/>
      <c r="I8" s="863"/>
      <c r="L8"/>
      <c r="M8"/>
      <c r="N8"/>
      <c r="O8"/>
      <c r="P8"/>
      <c r="Q8"/>
      <c r="R8"/>
    </row>
    <row r="9" spans="1:18" ht="21" customHeight="1" thickTop="1">
      <c r="B9" s="1435"/>
      <c r="C9" s="1435"/>
      <c r="D9" s="1435"/>
      <c r="E9" s="1435"/>
      <c r="F9" s="1436"/>
      <c r="G9" s="607"/>
      <c r="H9" s="454"/>
      <c r="I9" s="608"/>
      <c r="L9" s="294"/>
      <c r="M9"/>
      <c r="N9"/>
      <c r="O9"/>
      <c r="P9"/>
      <c r="Q9"/>
      <c r="R9"/>
    </row>
    <row r="10" spans="1:18" ht="21" customHeight="1">
      <c r="B10" s="1431"/>
      <c r="C10" s="1431"/>
      <c r="D10" s="1431"/>
      <c r="E10" s="1431"/>
      <c r="F10" s="1432"/>
      <c r="G10" s="479"/>
      <c r="H10" s="450"/>
      <c r="I10" s="451"/>
      <c r="L10"/>
      <c r="M10"/>
      <c r="N10"/>
      <c r="O10"/>
      <c r="P10"/>
      <c r="Q10"/>
      <c r="R10"/>
    </row>
    <row r="11" spans="1:18" ht="21" customHeight="1">
      <c r="B11" s="1431"/>
      <c r="C11" s="1431"/>
      <c r="D11" s="1431"/>
      <c r="E11" s="1431"/>
      <c r="F11" s="1432"/>
      <c r="G11" s="479"/>
      <c r="H11" s="450"/>
      <c r="I11" s="451"/>
      <c r="L11"/>
      <c r="M11"/>
      <c r="N11"/>
      <c r="O11"/>
      <c r="P11"/>
      <c r="Q11"/>
      <c r="R11"/>
    </row>
    <row r="12" spans="1:18" ht="21" customHeight="1">
      <c r="B12" s="1431"/>
      <c r="C12" s="1431"/>
      <c r="D12" s="1431"/>
      <c r="E12" s="1431"/>
      <c r="F12" s="1432"/>
      <c r="G12" s="479"/>
      <c r="H12" s="450"/>
      <c r="I12" s="451"/>
      <c r="L12"/>
      <c r="M12"/>
      <c r="N12"/>
      <c r="O12"/>
      <c r="P12"/>
      <c r="Q12"/>
      <c r="R12"/>
    </row>
    <row r="13" spans="1:18" ht="21" customHeight="1">
      <c r="B13" s="1431"/>
      <c r="C13" s="1431"/>
      <c r="D13" s="1431"/>
      <c r="E13" s="1431"/>
      <c r="F13" s="1432"/>
      <c r="G13" s="479"/>
      <c r="H13" s="450"/>
      <c r="I13" s="451"/>
      <c r="L13"/>
      <c r="M13"/>
      <c r="N13"/>
      <c r="O13"/>
      <c r="P13"/>
      <c r="Q13"/>
      <c r="R13"/>
    </row>
    <row r="14" spans="1:18" ht="21" customHeight="1">
      <c r="B14" s="1431"/>
      <c r="C14" s="1431"/>
      <c r="D14" s="1431"/>
      <c r="E14" s="1431"/>
      <c r="F14" s="1432"/>
      <c r="G14" s="480"/>
      <c r="H14" s="450"/>
      <c r="I14" s="451"/>
      <c r="L14"/>
      <c r="M14"/>
      <c r="N14"/>
      <c r="O14"/>
      <c r="P14"/>
      <c r="Q14"/>
      <c r="R14"/>
    </row>
    <row r="15" spans="1:18" ht="21" customHeight="1">
      <c r="A15" s="1367" t="s">
        <v>3169</v>
      </c>
      <c r="B15" s="1431"/>
      <c r="C15" s="1431"/>
      <c r="D15" s="1431"/>
      <c r="E15" s="1431"/>
      <c r="F15" s="1432"/>
      <c r="G15" s="479"/>
      <c r="H15" s="450"/>
      <c r="I15" s="451"/>
      <c r="L15"/>
      <c r="M15"/>
      <c r="N15"/>
      <c r="O15"/>
      <c r="P15"/>
      <c r="Q15"/>
      <c r="R15"/>
    </row>
    <row r="16" spans="1:18" ht="21" customHeight="1">
      <c r="A16" s="1367"/>
      <c r="B16" s="1431"/>
      <c r="C16" s="1431"/>
      <c r="D16" s="1431"/>
      <c r="E16" s="1431"/>
      <c r="F16" s="1432"/>
      <c r="G16" s="479"/>
      <c r="H16" s="450"/>
      <c r="I16" s="451"/>
      <c r="L16"/>
      <c r="M16"/>
      <c r="N16"/>
      <c r="O16"/>
      <c r="P16"/>
      <c r="Q16"/>
      <c r="R16"/>
    </row>
    <row r="17" spans="1:18" ht="21" customHeight="1">
      <c r="A17" s="1367"/>
      <c r="B17" s="1431"/>
      <c r="C17" s="1431"/>
      <c r="D17" s="1431"/>
      <c r="E17" s="1431"/>
      <c r="F17" s="1432"/>
      <c r="G17" s="479"/>
      <c r="H17" s="450"/>
      <c r="I17" s="451"/>
      <c r="L17"/>
      <c r="M17"/>
      <c r="N17"/>
      <c r="O17"/>
      <c r="P17"/>
      <c r="Q17"/>
      <c r="R17"/>
    </row>
    <row r="18" spans="1:18" ht="21" customHeight="1">
      <c r="A18" s="397"/>
      <c r="B18" s="1431"/>
      <c r="C18" s="1431"/>
      <c r="D18" s="1431"/>
      <c r="E18" s="1431"/>
      <c r="F18" s="1432"/>
      <c r="G18" s="479"/>
      <c r="H18" s="450"/>
      <c r="I18" s="451"/>
      <c r="L18"/>
      <c r="M18"/>
      <c r="N18"/>
      <c r="O18"/>
      <c r="P18"/>
      <c r="Q18"/>
      <c r="R18"/>
    </row>
    <row r="19" spans="1:18" ht="21" customHeight="1">
      <c r="B19" s="1431"/>
      <c r="C19" s="1431"/>
      <c r="D19" s="1431"/>
      <c r="E19" s="1431"/>
      <c r="F19" s="1432"/>
      <c r="G19" s="479"/>
      <c r="H19" s="450"/>
      <c r="I19" s="451"/>
      <c r="L19"/>
      <c r="M19"/>
      <c r="N19"/>
      <c r="O19"/>
      <c r="P19"/>
      <c r="Q19"/>
      <c r="R19"/>
    </row>
    <row r="20" spans="1:18" ht="21" customHeight="1">
      <c r="B20" s="1431"/>
      <c r="C20" s="1431"/>
      <c r="D20" s="1431"/>
      <c r="E20" s="1431"/>
      <c r="F20" s="1432"/>
      <c r="G20" s="479"/>
      <c r="H20" s="450"/>
      <c r="I20" s="451"/>
      <c r="L20"/>
      <c r="M20"/>
      <c r="N20"/>
      <c r="O20"/>
      <c r="P20"/>
      <c r="Q20"/>
      <c r="R20"/>
    </row>
    <row r="21" spans="1:18" ht="21" customHeight="1">
      <c r="B21" s="1431"/>
      <c r="C21" s="1431"/>
      <c r="D21" s="1431"/>
      <c r="E21" s="1431"/>
      <c r="F21" s="1432"/>
      <c r="G21" s="479"/>
      <c r="H21" s="450"/>
      <c r="I21" s="451"/>
      <c r="L21"/>
      <c r="M21"/>
      <c r="N21"/>
      <c r="O21"/>
      <c r="P21"/>
      <c r="Q21"/>
      <c r="R21"/>
    </row>
    <row r="22" spans="1:18" ht="21" customHeight="1" thickBot="1">
      <c r="B22" s="1431"/>
      <c r="C22" s="1431"/>
      <c r="D22" s="1431"/>
      <c r="E22" s="1431"/>
      <c r="F22" s="1432"/>
      <c r="G22" s="481"/>
      <c r="H22" s="475"/>
      <c r="I22" s="482"/>
      <c r="L22"/>
      <c r="M22"/>
      <c r="N22"/>
      <c r="O22"/>
      <c r="P22"/>
      <c r="Q22"/>
      <c r="R22"/>
    </row>
    <row r="23" spans="1:18" ht="21" customHeight="1" thickTop="1" thickBot="1">
      <c r="B23" s="401"/>
      <c r="C23" s="311"/>
      <c r="D23" s="405" t="s">
        <v>137</v>
      </c>
      <c r="E23" s="746"/>
      <c r="F23" s="404"/>
      <c r="G23" s="911">
        <f>SUM(G9:G22)</f>
        <v>0</v>
      </c>
      <c r="H23" s="755">
        <f>SUM(H9:H22)</f>
        <v>0</v>
      </c>
      <c r="I23" s="797">
        <f>SUM(I9:I22)</f>
        <v>0</v>
      </c>
      <c r="L23"/>
      <c r="M23"/>
      <c r="N23"/>
      <c r="O23"/>
      <c r="P23"/>
      <c r="Q23"/>
      <c r="R23"/>
    </row>
    <row r="24" spans="1:18" ht="13.5" customHeight="1" thickTop="1">
      <c r="B24" s="403"/>
      <c r="C24" s="309"/>
      <c r="D24" s="393"/>
      <c r="H24" s="347"/>
      <c r="I24" s="347"/>
    </row>
    <row r="25" spans="1:18" ht="13.5" customHeight="1">
      <c r="B25" s="403"/>
      <c r="C25" s="309"/>
      <c r="D25" s="393"/>
    </row>
    <row r="26" spans="1:18" ht="13.5" customHeight="1">
      <c r="B26" s="403"/>
      <c r="C26" s="309"/>
      <c r="D26" s="393"/>
      <c r="H26" s="385"/>
    </row>
    <row r="27" spans="1:18">
      <c r="B27" s="400"/>
      <c r="C27" s="309"/>
      <c r="D27" s="309"/>
    </row>
  </sheetData>
  <sheetProtection algorithmName="SHA-512" hashValue="fR4+z7pXS8HvH42mF59bjj01yEwAj+N3oXOo5rYrhZc2g/S1tSVsPX8h3oquL2868l0bZHsN5zOA47I4rHRsjg==" saltValue="IyCLjRbrJlFQ+YhIBebGUQ==" spinCount="100000" sheet="1" objects="1" scenarios="1"/>
  <mergeCells count="20">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s>
  <pageMargins left="0.25" right="0.25" top="0.5" bottom="0.5" header="0.25" footer="0.25"/>
  <pageSetup paperSize="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F2631-1458-47DB-A4EC-CB7A7E7C97D0}">
  <sheetPr codeName="Sheet25"/>
  <dimension ref="B2:O52"/>
  <sheetViews>
    <sheetView zoomScaleNormal="100" workbookViewId="0">
      <selection activeCell="G47" sqref="G47"/>
    </sheetView>
  </sheetViews>
  <sheetFormatPr defaultColWidth="9.109375" defaultRowHeight="13.2"/>
  <cols>
    <col min="1" max="3" width="4.6640625" customWidth="1"/>
    <col min="5" max="5" width="11.88671875" customWidth="1"/>
    <col min="6" max="6" width="1.6640625" customWidth="1"/>
    <col min="7" max="7" width="14.6640625" customWidth="1"/>
    <col min="8" max="8" width="1.6640625" customWidth="1"/>
    <col min="9" max="9" width="14.6640625" customWidth="1"/>
    <col min="10" max="10" width="1.6640625" customWidth="1"/>
    <col min="11" max="11" width="14.6640625" customWidth="1"/>
    <col min="12" max="12" width="1.6640625" customWidth="1"/>
    <col min="13" max="13" width="14.6640625" customWidth="1"/>
    <col min="14" max="14" width="10.88671875" bestFit="1" customWidth="1"/>
    <col min="15" max="15" width="13.5546875" bestFit="1" customWidth="1"/>
  </cols>
  <sheetData>
    <row r="2" spans="2:15" ht="20.399999999999999">
      <c r="B2" s="1131" t="s">
        <v>3349</v>
      </c>
      <c r="C2" s="1131"/>
      <c r="D2" s="1131"/>
      <c r="E2" s="1131"/>
      <c r="F2" s="1131"/>
      <c r="G2" s="1131"/>
      <c r="H2" s="1131"/>
      <c r="I2" s="1131"/>
      <c r="J2" s="1131"/>
      <c r="K2" s="1131"/>
      <c r="L2" s="1131"/>
      <c r="M2" s="1131"/>
    </row>
    <row r="3" spans="2:15">
      <c r="B3" s="1158"/>
      <c r="C3" s="1158"/>
      <c r="D3" s="1158"/>
      <c r="E3" s="1158"/>
      <c r="F3" s="1158"/>
      <c r="G3" s="1158"/>
      <c r="H3" s="1158"/>
      <c r="I3" s="1158"/>
      <c r="J3" s="1158"/>
      <c r="K3" s="1158"/>
      <c r="L3" s="1158"/>
      <c r="M3" s="1158"/>
    </row>
    <row r="5" spans="2:15">
      <c r="B5" s="1190"/>
      <c r="C5" s="1190"/>
      <c r="D5" s="1190"/>
      <c r="G5" s="1" t="s">
        <v>414</v>
      </c>
      <c r="I5" s="124"/>
      <c r="K5" s="124"/>
    </row>
    <row r="6" spans="2:15">
      <c r="B6" s="1190"/>
      <c r="C6" s="1190"/>
      <c r="D6" s="1190"/>
      <c r="G6" s="243" t="str">
        <f>'6b.3-Trust Fund Reserves'!G6</f>
        <v>Dec. 31, 2023</v>
      </c>
      <c r="I6" s="1"/>
      <c r="K6" s="1"/>
      <c r="M6" s="1" t="s">
        <v>529</v>
      </c>
    </row>
    <row r="7" spans="2:15">
      <c r="G7" s="1" t="s">
        <v>433</v>
      </c>
      <c r="I7" s="1"/>
      <c r="K7" s="1"/>
      <c r="M7" s="1" t="s">
        <v>437</v>
      </c>
    </row>
    <row r="8" spans="2:15">
      <c r="B8" s="1190" t="s">
        <v>413</v>
      </c>
      <c r="C8" s="1190"/>
      <c r="D8" s="1190"/>
      <c r="G8" s="124" t="s">
        <v>432</v>
      </c>
      <c r="I8" s="124" t="s">
        <v>427</v>
      </c>
      <c r="K8" s="124" t="s">
        <v>535</v>
      </c>
      <c r="M8" s="241" t="str">
        <f>'6b.3-Trust Fund Reserves'!M8</f>
        <v>Dec. 31, 2024</v>
      </c>
    </row>
    <row r="9" spans="2:15">
      <c r="B9" s="124"/>
      <c r="C9" s="124"/>
      <c r="D9" s="124"/>
      <c r="G9" s="124"/>
      <c r="I9" s="124"/>
      <c r="K9" s="124"/>
      <c r="M9" s="124"/>
    </row>
    <row r="10" spans="2:15" ht="21" customHeight="1">
      <c r="B10" s="590" t="s">
        <v>3256</v>
      </c>
      <c r="C10" s="30"/>
      <c r="D10" s="30"/>
      <c r="E10" s="30"/>
      <c r="G10" s="638">
        <f>+'6b.3-Trust Fund Reserves'!G48</f>
        <v>245057.19999999998</v>
      </c>
      <c r="I10" s="638">
        <f>+'6b.3-Trust Fund Reserves'!I48</f>
        <v>933468.92</v>
      </c>
      <c r="K10" s="638">
        <f>+'6b.3-Trust Fund Reserves'!K48</f>
        <v>849468.8</v>
      </c>
      <c r="M10" s="638">
        <f>+'6b.3-Trust Fund Reserves'!M48</f>
        <v>329057.32</v>
      </c>
      <c r="N10" s="204"/>
      <c r="O10" s="204"/>
    </row>
    <row r="11" spans="2:15" ht="21" customHeight="1">
      <c r="B11" s="292"/>
      <c r="C11" s="292"/>
      <c r="D11" s="292"/>
      <c r="E11" s="292"/>
      <c r="G11" s="293"/>
      <c r="I11" s="293"/>
      <c r="K11" s="293"/>
      <c r="L11" s="295"/>
      <c r="M11" s="637">
        <f t="shared" ref="M11:M47" si="0">+G11+I11-K11</f>
        <v>0</v>
      </c>
      <c r="N11" s="204"/>
    </row>
    <row r="12" spans="2:15" ht="21" customHeight="1">
      <c r="B12" s="292"/>
      <c r="C12" s="292"/>
      <c r="D12" s="292"/>
      <c r="E12" s="292"/>
      <c r="G12" s="293"/>
      <c r="I12" s="293"/>
      <c r="K12" s="293"/>
      <c r="L12" s="295"/>
      <c r="M12" s="637">
        <f t="shared" si="0"/>
        <v>0</v>
      </c>
      <c r="N12" s="204"/>
    </row>
    <row r="13" spans="2:15" ht="21" customHeight="1">
      <c r="B13" s="292"/>
      <c r="C13" s="292"/>
      <c r="D13" s="292"/>
      <c r="E13" s="292"/>
      <c r="G13" s="293"/>
      <c r="I13" s="511"/>
      <c r="K13" s="293"/>
      <c r="L13" s="295"/>
      <c r="M13" s="637">
        <f t="shared" si="0"/>
        <v>0</v>
      </c>
      <c r="N13" s="204"/>
      <c r="O13" s="294"/>
    </row>
    <row r="14" spans="2:15" ht="21" customHeight="1">
      <c r="B14" s="512"/>
      <c r="C14" s="292"/>
      <c r="D14" s="292"/>
      <c r="E14" s="292"/>
      <c r="G14" s="293"/>
      <c r="I14" s="293"/>
      <c r="K14" s="293"/>
      <c r="L14" s="295"/>
      <c r="M14" s="637">
        <f t="shared" si="0"/>
        <v>0</v>
      </c>
      <c r="N14" s="204"/>
    </row>
    <row r="15" spans="2:15" ht="21" customHeight="1">
      <c r="B15" s="292"/>
      <c r="C15" s="292"/>
      <c r="D15" s="292"/>
      <c r="E15" s="292"/>
      <c r="G15" s="293"/>
      <c r="I15" s="293"/>
      <c r="K15" s="293"/>
      <c r="L15" s="295"/>
      <c r="M15" s="637">
        <f t="shared" si="0"/>
        <v>0</v>
      </c>
      <c r="N15" s="204"/>
    </row>
    <row r="16" spans="2:15" ht="21" customHeight="1">
      <c r="B16" s="292"/>
      <c r="C16" s="292"/>
      <c r="D16" s="292"/>
      <c r="E16" s="292"/>
      <c r="G16" s="293"/>
      <c r="I16" s="293"/>
      <c r="K16" s="293"/>
      <c r="L16" s="295"/>
      <c r="M16" s="637">
        <f t="shared" si="0"/>
        <v>0</v>
      </c>
      <c r="N16" s="204"/>
    </row>
    <row r="17" spans="2:14" ht="21" customHeight="1">
      <c r="B17" s="292"/>
      <c r="C17" s="292"/>
      <c r="D17" s="292"/>
      <c r="E17" s="292"/>
      <c r="G17" s="293"/>
      <c r="I17" s="293"/>
      <c r="K17" s="293"/>
      <c r="L17" s="295"/>
      <c r="M17" s="637">
        <f t="shared" si="0"/>
        <v>0</v>
      </c>
      <c r="N17" s="204"/>
    </row>
    <row r="18" spans="2:14" ht="21" customHeight="1">
      <c r="B18" s="292"/>
      <c r="C18" s="292"/>
      <c r="D18" s="292"/>
      <c r="E18" s="292"/>
      <c r="G18" s="293"/>
      <c r="I18" s="293"/>
      <c r="K18" s="293"/>
      <c r="L18" s="295"/>
      <c r="M18" s="637">
        <f t="shared" si="0"/>
        <v>0</v>
      </c>
      <c r="N18" s="204"/>
    </row>
    <row r="19" spans="2:14" ht="21" customHeight="1">
      <c r="B19" s="512"/>
      <c r="C19" s="292"/>
      <c r="D19" s="292"/>
      <c r="E19" s="292"/>
      <c r="G19" s="293"/>
      <c r="I19" s="293"/>
      <c r="K19" s="293"/>
      <c r="L19" s="295"/>
      <c r="M19" s="637">
        <f t="shared" si="0"/>
        <v>0</v>
      </c>
      <c r="N19" s="204"/>
    </row>
    <row r="20" spans="2:14" ht="21" customHeight="1">
      <c r="B20" s="512"/>
      <c r="C20" s="292"/>
      <c r="D20" s="292"/>
      <c r="E20" s="292"/>
      <c r="G20" s="293"/>
      <c r="I20" s="293"/>
      <c r="K20" s="293"/>
      <c r="L20" s="295"/>
      <c r="M20" s="637">
        <f t="shared" si="0"/>
        <v>0</v>
      </c>
      <c r="N20" s="204"/>
    </row>
    <row r="21" spans="2:14" ht="21" customHeight="1">
      <c r="B21" s="512"/>
      <c r="C21" s="292"/>
      <c r="D21" s="292"/>
      <c r="E21" s="292"/>
      <c r="G21" s="293"/>
      <c r="I21" s="293"/>
      <c r="K21" s="293"/>
      <c r="L21" s="295"/>
      <c r="M21" s="637">
        <f t="shared" si="0"/>
        <v>0</v>
      </c>
      <c r="N21" s="204"/>
    </row>
    <row r="22" spans="2:14" ht="21" customHeight="1">
      <c r="B22" s="512"/>
      <c r="C22" s="292"/>
      <c r="D22" s="292"/>
      <c r="E22" s="292"/>
      <c r="G22" s="293"/>
      <c r="I22" s="293"/>
      <c r="K22" s="293"/>
      <c r="L22" s="295"/>
      <c r="M22" s="637">
        <f t="shared" si="0"/>
        <v>0</v>
      </c>
      <c r="N22" s="204"/>
    </row>
    <row r="23" spans="2:14" ht="21" customHeight="1">
      <c r="B23" s="512"/>
      <c r="C23" s="292"/>
      <c r="D23" s="292"/>
      <c r="E23" s="292"/>
      <c r="G23" s="293"/>
      <c r="I23" s="293"/>
      <c r="K23" s="293"/>
      <c r="L23" s="295"/>
      <c r="M23" s="637">
        <f t="shared" si="0"/>
        <v>0</v>
      </c>
      <c r="N23" s="204"/>
    </row>
    <row r="24" spans="2:14" ht="21" customHeight="1">
      <c r="B24" s="512"/>
      <c r="C24" s="292"/>
      <c r="D24" s="292"/>
      <c r="E24" s="292"/>
      <c r="G24" s="293"/>
      <c r="I24" s="293"/>
      <c r="K24" s="293"/>
      <c r="L24" s="295"/>
      <c r="M24" s="637">
        <f t="shared" si="0"/>
        <v>0</v>
      </c>
      <c r="N24" s="204"/>
    </row>
    <row r="25" spans="2:14" ht="21" customHeight="1">
      <c r="B25" s="292"/>
      <c r="C25" s="292"/>
      <c r="D25" s="292"/>
      <c r="E25" s="292"/>
      <c r="G25" s="293"/>
      <c r="I25" s="293"/>
      <c r="K25" s="293"/>
      <c r="L25" s="295"/>
      <c r="M25" s="637">
        <f t="shared" si="0"/>
        <v>0</v>
      </c>
      <c r="N25" s="204"/>
    </row>
    <row r="26" spans="2:14" ht="21" customHeight="1">
      <c r="B26" s="292"/>
      <c r="C26" s="292"/>
      <c r="D26" s="292"/>
      <c r="E26" s="292"/>
      <c r="G26" s="293"/>
      <c r="I26" s="293"/>
      <c r="K26" s="293"/>
      <c r="L26" s="295"/>
      <c r="M26" s="637">
        <f t="shared" si="0"/>
        <v>0</v>
      </c>
    </row>
    <row r="27" spans="2:14" ht="21" customHeight="1">
      <c r="B27" s="292"/>
      <c r="C27" s="292"/>
      <c r="D27" s="292"/>
      <c r="E27" s="292"/>
      <c r="G27" s="293"/>
      <c r="I27" s="293"/>
      <c r="K27" s="293"/>
      <c r="L27" s="295"/>
      <c r="M27" s="637">
        <f t="shared" si="0"/>
        <v>0</v>
      </c>
    </row>
    <row r="28" spans="2:14" ht="21" customHeight="1">
      <c r="B28" s="292"/>
      <c r="C28" s="292"/>
      <c r="D28" s="292"/>
      <c r="E28" s="292"/>
      <c r="G28" s="293"/>
      <c r="I28" s="293"/>
      <c r="K28" s="293"/>
      <c r="L28" s="295"/>
      <c r="M28" s="637">
        <f t="shared" si="0"/>
        <v>0</v>
      </c>
    </row>
    <row r="29" spans="2:14" ht="21" customHeight="1">
      <c r="B29" s="292"/>
      <c r="C29" s="292"/>
      <c r="D29" s="292"/>
      <c r="E29" s="292"/>
      <c r="G29" s="293"/>
      <c r="I29" s="293"/>
      <c r="K29" s="293"/>
      <c r="L29" s="295"/>
      <c r="M29" s="637">
        <f t="shared" si="0"/>
        <v>0</v>
      </c>
    </row>
    <row r="30" spans="2:14" ht="21" customHeight="1">
      <c r="B30" s="292"/>
      <c r="C30" s="292"/>
      <c r="D30" s="292"/>
      <c r="E30" s="292"/>
      <c r="G30" s="293"/>
      <c r="I30" s="293"/>
      <c r="K30" s="293"/>
      <c r="L30" s="295"/>
      <c r="M30" s="637">
        <f t="shared" si="0"/>
        <v>0</v>
      </c>
    </row>
    <row r="31" spans="2:14" ht="21" customHeight="1">
      <c r="B31" s="292"/>
      <c r="C31" s="292"/>
      <c r="D31" s="292"/>
      <c r="E31" s="292"/>
      <c r="G31" s="293"/>
      <c r="I31" s="293"/>
      <c r="K31" s="293"/>
      <c r="L31" s="295"/>
      <c r="M31" s="637">
        <f t="shared" si="0"/>
        <v>0</v>
      </c>
    </row>
    <row r="32" spans="2:14" ht="21" customHeight="1">
      <c r="B32" s="292"/>
      <c r="C32" s="292"/>
      <c r="D32" s="292"/>
      <c r="E32" s="292"/>
      <c r="G32" s="293"/>
      <c r="I32" s="293"/>
      <c r="K32" s="293"/>
      <c r="L32" s="295"/>
      <c r="M32" s="637">
        <f t="shared" si="0"/>
        <v>0</v>
      </c>
    </row>
    <row r="33" spans="2:13" ht="21" customHeight="1">
      <c r="B33" s="292"/>
      <c r="C33" s="292"/>
      <c r="D33" s="292"/>
      <c r="E33" s="292"/>
      <c r="G33" s="293"/>
      <c r="I33" s="293"/>
      <c r="K33" s="293"/>
      <c r="L33" s="295"/>
      <c r="M33" s="637">
        <f t="shared" si="0"/>
        <v>0</v>
      </c>
    </row>
    <row r="34" spans="2:13" ht="21" customHeight="1">
      <c r="B34" s="292"/>
      <c r="C34" s="292"/>
      <c r="D34" s="292"/>
      <c r="E34" s="292"/>
      <c r="G34" s="293"/>
      <c r="I34" s="293"/>
      <c r="K34" s="293"/>
      <c r="L34" s="295"/>
      <c r="M34" s="637">
        <f t="shared" si="0"/>
        <v>0</v>
      </c>
    </row>
    <row r="35" spans="2:13" ht="21" customHeight="1">
      <c r="B35" s="292"/>
      <c r="C35" s="292"/>
      <c r="D35" s="292"/>
      <c r="E35" s="292"/>
      <c r="G35" s="293"/>
      <c r="I35" s="293"/>
      <c r="K35" s="293"/>
      <c r="L35" s="295"/>
      <c r="M35" s="637">
        <f t="shared" si="0"/>
        <v>0</v>
      </c>
    </row>
    <row r="36" spans="2:13" ht="21" customHeight="1">
      <c r="B36" s="292"/>
      <c r="C36" s="292"/>
      <c r="D36" s="292"/>
      <c r="E36" s="292"/>
      <c r="G36" s="293"/>
      <c r="I36" s="293"/>
      <c r="K36" s="293"/>
      <c r="L36" s="295"/>
      <c r="M36" s="637">
        <f t="shared" si="0"/>
        <v>0</v>
      </c>
    </row>
    <row r="37" spans="2:13" ht="21" customHeight="1">
      <c r="B37" s="292"/>
      <c r="C37" s="292"/>
      <c r="D37" s="292"/>
      <c r="E37" s="292"/>
      <c r="G37" s="293"/>
      <c r="I37" s="293"/>
      <c r="K37" s="293"/>
      <c r="L37" s="295"/>
      <c r="M37" s="637">
        <f t="shared" si="0"/>
        <v>0</v>
      </c>
    </row>
    <row r="38" spans="2:13" ht="21" customHeight="1">
      <c r="B38" s="292"/>
      <c r="C38" s="292"/>
      <c r="D38" s="292"/>
      <c r="E38" s="292"/>
      <c r="G38" s="293"/>
      <c r="I38" s="293"/>
      <c r="K38" s="293"/>
      <c r="L38" s="295"/>
      <c r="M38" s="637">
        <f t="shared" si="0"/>
        <v>0</v>
      </c>
    </row>
    <row r="39" spans="2:13" ht="21" customHeight="1">
      <c r="B39" s="292"/>
      <c r="C39" s="292"/>
      <c r="D39" s="292"/>
      <c r="E39" s="292"/>
      <c r="G39" s="293"/>
      <c r="I39" s="293"/>
      <c r="K39" s="293"/>
      <c r="L39" s="295"/>
      <c r="M39" s="637">
        <f t="shared" si="0"/>
        <v>0</v>
      </c>
    </row>
    <row r="40" spans="2:13" ht="21" customHeight="1">
      <c r="B40" s="292"/>
      <c r="C40" s="292"/>
      <c r="D40" s="292"/>
      <c r="E40" s="292"/>
      <c r="G40" s="293"/>
      <c r="I40" s="293"/>
      <c r="K40" s="293"/>
      <c r="L40" s="295"/>
      <c r="M40" s="637">
        <f t="shared" si="0"/>
        <v>0</v>
      </c>
    </row>
    <row r="41" spans="2:13" ht="21" customHeight="1">
      <c r="B41" s="292"/>
      <c r="C41" s="292"/>
      <c r="D41" s="292"/>
      <c r="E41" s="292"/>
      <c r="G41" s="293"/>
      <c r="I41" s="293"/>
      <c r="K41" s="293"/>
      <c r="L41" s="295"/>
      <c r="M41" s="637">
        <f t="shared" si="0"/>
        <v>0</v>
      </c>
    </row>
    <row r="42" spans="2:13" ht="21" customHeight="1">
      <c r="B42" s="292"/>
      <c r="C42" s="292"/>
      <c r="D42" s="292"/>
      <c r="E42" s="292"/>
      <c r="G42" s="293"/>
      <c r="I42" s="293"/>
      <c r="K42" s="293"/>
      <c r="L42" s="295"/>
      <c r="M42" s="637">
        <f t="shared" si="0"/>
        <v>0</v>
      </c>
    </row>
    <row r="43" spans="2:13" ht="21" customHeight="1">
      <c r="B43" s="292"/>
      <c r="C43" s="292"/>
      <c r="D43" s="292"/>
      <c r="E43" s="292"/>
      <c r="G43" s="293"/>
      <c r="I43" s="293"/>
      <c r="K43" s="293"/>
      <c r="L43" s="295"/>
      <c r="M43" s="637">
        <f t="shared" si="0"/>
        <v>0</v>
      </c>
    </row>
    <row r="44" spans="2:13" ht="21" customHeight="1">
      <c r="B44" s="292"/>
      <c r="C44" s="292"/>
      <c r="D44" s="292"/>
      <c r="E44" s="292"/>
      <c r="G44" s="293"/>
      <c r="I44" s="293"/>
      <c r="K44" s="293"/>
      <c r="L44" s="295"/>
      <c r="M44" s="637">
        <f t="shared" si="0"/>
        <v>0</v>
      </c>
    </row>
    <row r="45" spans="2:13" ht="21" customHeight="1">
      <c r="B45" s="292"/>
      <c r="C45" s="292"/>
      <c r="D45" s="292"/>
      <c r="E45" s="292"/>
      <c r="G45" s="293"/>
      <c r="I45" s="293"/>
      <c r="K45" s="293"/>
      <c r="L45" s="295"/>
      <c r="M45" s="637">
        <f t="shared" si="0"/>
        <v>0</v>
      </c>
    </row>
    <row r="46" spans="2:13" ht="21" customHeight="1">
      <c r="B46" s="292"/>
      <c r="C46" s="292"/>
      <c r="D46" s="292"/>
      <c r="E46" s="292"/>
      <c r="G46" s="293"/>
      <c r="I46" s="293"/>
      <c r="K46" s="293"/>
      <c r="L46" s="295"/>
      <c r="M46" s="637">
        <f t="shared" si="0"/>
        <v>0</v>
      </c>
    </row>
    <row r="47" spans="2:13" ht="21" customHeight="1">
      <c r="B47" s="292"/>
      <c r="C47" s="292"/>
      <c r="D47" s="292"/>
      <c r="E47" s="292"/>
      <c r="G47" s="293"/>
      <c r="I47" s="293"/>
      <c r="K47" s="293"/>
      <c r="L47" s="295"/>
      <c r="M47" s="637">
        <f t="shared" si="0"/>
        <v>0</v>
      </c>
    </row>
    <row r="48" spans="2:13" ht="21" customHeight="1">
      <c r="D48" s="112" t="s">
        <v>3255</v>
      </c>
      <c r="F48" t="s">
        <v>373</v>
      </c>
      <c r="G48" s="149">
        <f>SUM(G10:G47)</f>
        <v>245057.19999999998</v>
      </c>
      <c r="H48" t="s">
        <v>373</v>
      </c>
      <c r="I48" s="149">
        <f>SUM(I10:I47)</f>
        <v>933468.92</v>
      </c>
      <c r="J48" t="s">
        <v>373</v>
      </c>
      <c r="K48" s="149">
        <f>SUM(K10:K47)</f>
        <v>849468.8</v>
      </c>
      <c r="L48" t="s">
        <v>373</v>
      </c>
      <c r="M48" s="637">
        <f>SUM(M10:M47)</f>
        <v>329057.32</v>
      </c>
    </row>
    <row r="50" spans="2:13" ht="13.8">
      <c r="B50" s="1191" t="s">
        <v>3259</v>
      </c>
      <c r="C50" s="1191"/>
      <c r="D50" s="1191"/>
      <c r="E50" s="1191"/>
      <c r="F50" s="1191"/>
      <c r="G50" s="1191"/>
      <c r="H50" s="1191"/>
      <c r="I50" s="1191"/>
      <c r="J50" s="1191"/>
      <c r="K50" s="1191"/>
      <c r="L50" s="1191"/>
      <c r="M50" s="1191"/>
    </row>
    <row r="52" spans="2:13">
      <c r="G52" s="204"/>
      <c r="M52" s="204"/>
    </row>
  </sheetData>
  <sheetProtection algorithmName="SHA-512" hashValue="8MIoee8910vXDw+E1l0W+F9kpF5UelAQaF/ArY882KPzNPdAH9DMEa9Cdj5nCgZe+Qet6BbjkwhkPnW8wnDojg==" saltValue="H0q1sO+3ok1buVrowzJRhg=="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3B7F2-CCC3-4C2A-BD37-4B6E45AC91BB}">
  <sheetPr codeName="Sheet240">
    <tabColor theme="2" tint="-0.249977111117893"/>
  </sheetPr>
  <dimension ref="A1:U42"/>
  <sheetViews>
    <sheetView zoomScaleNormal="100" zoomScaleSheetLayoutView="80" workbookViewId="0">
      <selection activeCell="G7" sqref="G7"/>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"&amp;UPPER('KEY INPUTS'!D57)&amp;"  (UTILITY  CAPITAL  FUND)"</f>
        <v>SCHEDULE  OF  IMPROVEMENT  AUTHORIZATIONS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543"/>
      <c r="C9" s="518"/>
      <c r="D9" s="520"/>
      <c r="E9" s="466"/>
      <c r="F9" s="466"/>
      <c r="G9" s="466"/>
      <c r="H9" s="466"/>
      <c r="I9" s="466"/>
      <c r="J9" s="466"/>
      <c r="K9" s="466"/>
      <c r="L9" s="478"/>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3171</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3360</v>
      </c>
      <c r="E27" s="129">
        <f t="shared" ref="E27:L27" si="0">SUM(E9:E26)</f>
        <v>0</v>
      </c>
      <c r="F27" s="129">
        <f t="shared" si="0"/>
        <v>0</v>
      </c>
      <c r="G27" s="129">
        <f t="shared" si="0"/>
        <v>0</v>
      </c>
      <c r="H27" s="129">
        <f t="shared" si="0"/>
        <v>0</v>
      </c>
      <c r="I27" s="129">
        <f t="shared" si="0"/>
        <v>0</v>
      </c>
      <c r="J27" s="129">
        <f t="shared" si="0"/>
        <v>0</v>
      </c>
      <c r="K27" s="129">
        <f t="shared" si="0"/>
        <v>0</v>
      </c>
      <c r="L27" s="146">
        <f t="shared" si="0"/>
        <v>0</v>
      </c>
    </row>
    <row r="28" spans="1:21" ht="13.5" customHeight="1" thickTop="1">
      <c r="B28" s="403"/>
      <c r="C28" s="309" t="s">
        <v>521</v>
      </c>
      <c r="D28" s="393"/>
      <c r="K28" s="347"/>
      <c r="L28" s="347"/>
    </row>
    <row r="42" spans="11:12">
      <c r="K42" s="267" t="s">
        <v>3211</v>
      </c>
      <c r="L42" s="301">
        <f>K27+L27</f>
        <v>0</v>
      </c>
    </row>
  </sheetData>
  <sheetProtection algorithmName="SHA-512" hashValue="U987zcSDS9rrJ5MqXWEVmtRMSgAAUxxc7LFXwPCHJot8ss2WhWAwBRWRG3zeKgtY5B9VSURFcqbmcjrKI7086A==" saltValue="/NTjGEFUw3dotH3F/3uwl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281BD-03D1-4EE1-9517-116A08B06194}">
  <sheetPr codeName="Sheet241">
    <tabColor theme="2" tint="-0.249977111117893"/>
  </sheetPr>
  <dimension ref="A1:U42"/>
  <sheetViews>
    <sheetView zoomScaleNormal="100" zoomScaleSheetLayoutView="80" workbookViewId="0">
      <selection activeCell="G7" sqref="G7"/>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"&amp;UPPER('KEY INPUTS'!D57)&amp;"  (UTILITY  CAPITAL  FUND)"</f>
        <v>SCHEDULE  OF  IMPROVEMENT  AUTHORIZATIONS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65" t="s">
        <v>3263</v>
      </c>
      <c r="C9" s="866"/>
      <c r="D9" s="867"/>
      <c r="E9" s="864">
        <f>+'52-Utility4'!E27</f>
        <v>0</v>
      </c>
      <c r="F9" s="864">
        <f>+'52-Utility4'!F27</f>
        <v>0</v>
      </c>
      <c r="G9" s="864">
        <f>+'52-Utility4'!G27</f>
        <v>0</v>
      </c>
      <c r="H9" s="864">
        <f>+'52-Utility4'!H27</f>
        <v>0</v>
      </c>
      <c r="I9" s="864">
        <f>+'52-Utility4'!I27</f>
        <v>0</v>
      </c>
      <c r="J9" s="864">
        <f>+'52-Utility4'!J27</f>
        <v>0</v>
      </c>
      <c r="K9" s="864">
        <f>+'52-Utility4'!K27</f>
        <v>0</v>
      </c>
      <c r="L9" s="868">
        <f>+'52-Utility4'!L27</f>
        <v>0</v>
      </c>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3356</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3360</v>
      </c>
      <c r="E27" s="755">
        <f t="shared" ref="E27:L27" si="0">SUM(E9:E26)</f>
        <v>0</v>
      </c>
      <c r="F27" s="755">
        <f t="shared" si="0"/>
        <v>0</v>
      </c>
      <c r="G27" s="755">
        <f t="shared" si="0"/>
        <v>0</v>
      </c>
      <c r="H27" s="755">
        <f t="shared" si="0"/>
        <v>0</v>
      </c>
      <c r="I27" s="755">
        <f t="shared" si="0"/>
        <v>0</v>
      </c>
      <c r="J27" s="755">
        <f t="shared" si="0"/>
        <v>0</v>
      </c>
      <c r="K27" s="755">
        <f t="shared" si="0"/>
        <v>0</v>
      </c>
      <c r="L27" s="797">
        <f t="shared" si="0"/>
        <v>0</v>
      </c>
    </row>
    <row r="28" spans="1:21" ht="13.5" customHeight="1" thickTop="1">
      <c r="B28" s="403"/>
      <c r="C28" s="309" t="s">
        <v>521</v>
      </c>
      <c r="D28" s="393"/>
      <c r="K28" s="347"/>
      <c r="L28" s="347"/>
    </row>
    <row r="42" spans="11:12">
      <c r="K42" s="267" t="s">
        <v>3211</v>
      </c>
      <c r="L42" s="301">
        <f>K27+L27</f>
        <v>0</v>
      </c>
    </row>
  </sheetData>
  <sheetProtection algorithmName="SHA-512" hashValue="5sDaf8KB378/JwdyuhdefoT+7o4PRbPnkJ30KlmUlblCEMscQ86feKqYfJHyI+NrdUrkhBk3AsF/mtSxjhLwxg==" saltValue="UDCoZ4UBjxU85iDlH7tNY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7B313-EAD0-4129-89A1-CED8AFE7EAAB}">
  <sheetPr codeName="Sheet242">
    <tabColor theme="2" tint="-0.249977111117893"/>
  </sheetPr>
  <dimension ref="A1:U42"/>
  <sheetViews>
    <sheetView topLeftCell="B1" zoomScaleNormal="100" zoomScaleSheetLayoutView="80" workbookViewId="0">
      <selection activeCell="G7" sqref="G7"/>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"&amp;UPPER('KEY INPUTS'!D57)&amp;"  (UTILITY  CAPITAL  FUND)"</f>
        <v>SCHEDULE  OF  IMPROVEMENT  AUTHORIZATIONS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3365</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65" t="s">
        <v>3263</v>
      </c>
      <c r="C9" s="866"/>
      <c r="D9" s="867"/>
      <c r="E9" s="864">
        <f>+'52.1-Utility4'!E27</f>
        <v>0</v>
      </c>
      <c r="F9" s="864">
        <f>+'52.1-Utility4'!F27</f>
        <v>0</v>
      </c>
      <c r="G9" s="864">
        <f>+'52.1-Utility4'!G27</f>
        <v>0</v>
      </c>
      <c r="H9" s="864">
        <f>+'52.1-Utility4'!H27</f>
        <v>0</v>
      </c>
      <c r="I9" s="864">
        <f>+'52.1-Utility4'!I27</f>
        <v>0</v>
      </c>
      <c r="J9" s="864">
        <f>+'52.1-Utility4'!J27</f>
        <v>0</v>
      </c>
      <c r="K9" s="864">
        <f>+'52.1-Utility4'!K27</f>
        <v>0</v>
      </c>
      <c r="L9" s="868">
        <f>+'52.1-Utility4'!L27</f>
        <v>0</v>
      </c>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3357</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3360</v>
      </c>
      <c r="E27" s="755">
        <f t="shared" ref="E27:L27" si="0">SUM(E9:E26)</f>
        <v>0</v>
      </c>
      <c r="F27" s="755">
        <f t="shared" si="0"/>
        <v>0</v>
      </c>
      <c r="G27" s="755">
        <f t="shared" si="0"/>
        <v>0</v>
      </c>
      <c r="H27" s="755">
        <f t="shared" si="0"/>
        <v>0</v>
      </c>
      <c r="I27" s="755">
        <f t="shared" si="0"/>
        <v>0</v>
      </c>
      <c r="J27" s="755">
        <f t="shared" si="0"/>
        <v>0</v>
      </c>
      <c r="K27" s="755">
        <f t="shared" si="0"/>
        <v>0</v>
      </c>
      <c r="L27" s="797">
        <f t="shared" si="0"/>
        <v>0</v>
      </c>
    </row>
    <row r="28" spans="1:21" ht="13.5" customHeight="1" thickTop="1">
      <c r="B28" s="403"/>
      <c r="C28" s="309" t="s">
        <v>521</v>
      </c>
      <c r="D28" s="393"/>
      <c r="K28" s="347"/>
      <c r="L28" s="347"/>
    </row>
    <row r="42" spans="11:12">
      <c r="K42" s="267" t="s">
        <v>3211</v>
      </c>
      <c r="L42" s="301">
        <f>K27+L27</f>
        <v>0</v>
      </c>
    </row>
  </sheetData>
  <sheetProtection algorithmName="SHA-512" hashValue="GxtdIC7XY1c9hN+yGQpwJkvY9ICwyuUs3G5RKQN/QFKBCkWfO1S5WGpBN0K567vJp0Hv8Rb09DKYoZOa8NF95g==" saltValue="nXysT1diWb9cAbGPTLSO3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D2ABE-68F4-4F28-B67A-E42E72F16F5E}">
  <sheetPr codeName="Sheet243">
    <tabColor theme="2" tint="-0.249977111117893"/>
  </sheetPr>
  <dimension ref="A1:U42"/>
  <sheetViews>
    <sheetView zoomScaleNormal="100" zoomScaleSheetLayoutView="80" workbookViewId="0">
      <selection activeCell="G7" sqref="G7"/>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"&amp;UPPER('KEY INPUTS'!D57)&amp;"  (UTILITY  CAPITAL  FUND)"</f>
        <v>SCHEDULE  OF  IMPROVEMENT  AUTHORIZATIONS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65" t="s">
        <v>3263</v>
      </c>
      <c r="C9" s="866"/>
      <c r="D9" s="867"/>
      <c r="E9" s="864">
        <f>+'52.2-Utility4'!E27</f>
        <v>0</v>
      </c>
      <c r="F9" s="864">
        <f>+'52.2-Utility4'!F27</f>
        <v>0</v>
      </c>
      <c r="G9" s="864">
        <f>+'52.2-Utility4'!G27</f>
        <v>0</v>
      </c>
      <c r="H9" s="864">
        <f>+'52.2-Utility4'!H27</f>
        <v>0</v>
      </c>
      <c r="I9" s="864">
        <f>+'52.2-Utility4'!I27</f>
        <v>0</v>
      </c>
      <c r="J9" s="864">
        <f>+'52.2-Utility4'!J27</f>
        <v>0</v>
      </c>
      <c r="K9" s="864">
        <f>+'52.2-Utility4'!K27</f>
        <v>0</v>
      </c>
      <c r="L9" s="868">
        <f>+'52.2-Utility4'!L27</f>
        <v>0</v>
      </c>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3358</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3360</v>
      </c>
      <c r="E27" s="755">
        <f t="shared" ref="E27:L27" si="0">SUM(E9:E26)</f>
        <v>0</v>
      </c>
      <c r="F27" s="755">
        <f t="shared" si="0"/>
        <v>0</v>
      </c>
      <c r="G27" s="755">
        <f t="shared" si="0"/>
        <v>0</v>
      </c>
      <c r="H27" s="755">
        <f t="shared" si="0"/>
        <v>0</v>
      </c>
      <c r="I27" s="755">
        <f t="shared" si="0"/>
        <v>0</v>
      </c>
      <c r="J27" s="755">
        <f t="shared" si="0"/>
        <v>0</v>
      </c>
      <c r="K27" s="755">
        <f t="shared" si="0"/>
        <v>0</v>
      </c>
      <c r="L27" s="797">
        <f t="shared" si="0"/>
        <v>0</v>
      </c>
    </row>
    <row r="28" spans="1:21" ht="13.5" customHeight="1" thickTop="1">
      <c r="B28" s="403"/>
      <c r="C28" s="309" t="s">
        <v>521</v>
      </c>
      <c r="D28" s="393"/>
      <c r="K28" s="347"/>
      <c r="L28" s="347"/>
    </row>
    <row r="42" spans="11:12">
      <c r="K42" s="267" t="s">
        <v>3211</v>
      </c>
      <c r="L42" s="301">
        <f>K27+L27</f>
        <v>0</v>
      </c>
    </row>
  </sheetData>
  <sheetProtection algorithmName="SHA-512" hashValue="f1vc3QKXx3OYrS0FTcb2/GshAD1QsZx5ARv9tZkR5kbdxMgsDXrgtOV1DJ/9JU35clQ/nx597bCE+xtJYR0ScQ==" saltValue="IuYnlSdvyits2H2FSj7hJ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3AD8C-7586-4397-8079-89EEC601B506}">
  <sheetPr codeName="Sheet244">
    <tabColor theme="2" tint="-0.249977111117893"/>
  </sheetPr>
  <dimension ref="A1:U42"/>
  <sheetViews>
    <sheetView zoomScaleNormal="100" zoomScaleSheetLayoutView="80" workbookViewId="0">
      <selection activeCell="H12" sqref="H12"/>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"&amp;UPPER('KEY INPUTS'!D57)&amp;"  (UTILITY  CAPITAL  FUND)"</f>
        <v>SCHEDULE  OF  IMPROVEMENT  AUTHORIZATIONS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65" t="s">
        <v>3263</v>
      </c>
      <c r="C9" s="866"/>
      <c r="D9" s="867"/>
      <c r="E9" s="864">
        <f>+'52.3-Utility4'!E27</f>
        <v>0</v>
      </c>
      <c r="F9" s="864">
        <f>+'52.3-Utility4'!F27</f>
        <v>0</v>
      </c>
      <c r="G9" s="864">
        <f>+'52.3-Utility4'!G27</f>
        <v>0</v>
      </c>
      <c r="H9" s="864">
        <f>+'52.3-Utility4'!H27</f>
        <v>0</v>
      </c>
      <c r="I9" s="864">
        <f>+'52.3-Utility4'!I27</f>
        <v>0</v>
      </c>
      <c r="J9" s="864">
        <f>+'52.3-Utility4'!J27</f>
        <v>0</v>
      </c>
      <c r="K9" s="864">
        <f>+'52.3-Utility4'!K27</f>
        <v>0</v>
      </c>
      <c r="L9" s="868">
        <f>+'52.3-Utility4'!L27</f>
        <v>0</v>
      </c>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3361</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798</v>
      </c>
      <c r="E27" s="755">
        <f t="shared" ref="E27:L27" si="0">SUM(E9:E26)</f>
        <v>0</v>
      </c>
      <c r="F27" s="755">
        <f t="shared" si="0"/>
        <v>0</v>
      </c>
      <c r="G27" s="755">
        <f t="shared" si="0"/>
        <v>0</v>
      </c>
      <c r="H27" s="755">
        <f t="shared" si="0"/>
        <v>0</v>
      </c>
      <c r="I27" s="755">
        <f t="shared" si="0"/>
        <v>0</v>
      </c>
      <c r="J27" s="755">
        <f t="shared" si="0"/>
        <v>0</v>
      </c>
      <c r="K27" s="755">
        <f t="shared" si="0"/>
        <v>0</v>
      </c>
      <c r="L27" s="797">
        <f t="shared" si="0"/>
        <v>0</v>
      </c>
    </row>
    <row r="28" spans="1:21" ht="13.5" customHeight="1" thickTop="1">
      <c r="B28" s="403"/>
      <c r="C28" s="309" t="s">
        <v>521</v>
      </c>
      <c r="D28" s="393"/>
      <c r="K28" s="347"/>
      <c r="L28" s="347"/>
    </row>
    <row r="42" spans="11:12">
      <c r="K42" s="267" t="s">
        <v>3211</v>
      </c>
      <c r="L42" s="301">
        <f>K27+L27</f>
        <v>0</v>
      </c>
    </row>
  </sheetData>
  <sheetProtection algorithmName="SHA-512" hashValue="uoPxXMM8HLXOZWSByKNgxwp2IVA3WTlGEvyBdLzoyximkI0IHfj6L//BX31m2c4PzT9AF2DxpbflD4LT31eSgA==" saltValue="88+igfjdhFYJ05QGo9pmi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C2A88-28FF-4076-82CE-A847695D7240}">
  <sheetPr codeName="Sheet245">
    <tabColor theme="2" tint="-0.249977111117893"/>
  </sheetPr>
  <dimension ref="B3:S54"/>
  <sheetViews>
    <sheetView zoomScaleNormal="100" zoomScaleSheetLayoutView="80" workbookViewId="0">
      <selection activeCell="B10" sqref="B10"/>
    </sheetView>
  </sheetViews>
  <sheetFormatPr defaultColWidth="9.109375" defaultRowHeight="13.2"/>
  <cols>
    <col min="1" max="3" width="4.6640625" style="267" customWidth="1"/>
    <col min="4" max="4" width="4.5546875" style="267" customWidth="1"/>
    <col min="5" max="6" width="9.109375" style="267"/>
    <col min="7" max="7" width="14.44140625" style="267" customWidth="1"/>
    <col min="8" max="8" width="15" style="267" customWidth="1"/>
    <col min="9" max="10" width="16.6640625" style="267" customWidth="1"/>
    <col min="11" max="16384" width="9.109375" style="267"/>
  </cols>
  <sheetData>
    <row r="3" spans="2:19" ht="22.8">
      <c r="B3" s="1358" t="str">
        <f>UPPER('KEY INPUTS'!D$57)&amp;" UTILITY  CAPITAL  FUND"</f>
        <v xml:space="preserve"> UTILITY  CAPITAL  FUND</v>
      </c>
      <c r="C3" s="1358"/>
      <c r="D3" s="1358"/>
      <c r="E3" s="1358"/>
      <c r="F3" s="1358"/>
      <c r="G3" s="1358"/>
      <c r="H3" s="1358"/>
      <c r="I3" s="1358"/>
      <c r="J3" s="1358"/>
    </row>
    <row r="5" spans="2:19" ht="15.6">
      <c r="B5" s="1360" t="s">
        <v>525</v>
      </c>
      <c r="C5" s="1360"/>
      <c r="D5" s="1360"/>
      <c r="E5" s="1360"/>
      <c r="F5" s="1360"/>
      <c r="G5" s="1360"/>
      <c r="H5" s="1360"/>
      <c r="I5" s="1360"/>
      <c r="J5" s="1360"/>
    </row>
    <row r="6" spans="2:19" ht="13.8" thickBot="1"/>
    <row r="7" spans="2:19" ht="28.5" customHeight="1" thickTop="1" thickBot="1">
      <c r="B7" s="364"/>
      <c r="C7" s="364"/>
      <c r="D7" s="364"/>
      <c r="E7" s="364"/>
      <c r="F7" s="364"/>
      <c r="G7" s="364"/>
      <c r="H7" s="364"/>
      <c r="I7" s="304" t="s">
        <v>96</v>
      </c>
      <c r="J7" s="308" t="s">
        <v>97</v>
      </c>
    </row>
    <row r="8" spans="2:19" ht="21" customHeight="1" thickTop="1">
      <c r="B8" s="313" t="str">
        <f>IF('KEY INPUTS'!C42 = "State Fiscal Year", 'KEY INPUTS'!F25,'KEY INPUTS'!D25)</f>
        <v>Balance - January 1, 2024</v>
      </c>
      <c r="C8" s="313"/>
      <c r="D8" s="313"/>
      <c r="E8" s="313"/>
      <c r="F8" s="313"/>
      <c r="G8" s="313"/>
      <c r="H8" s="409"/>
      <c r="I8" s="757" t="s">
        <v>627</v>
      </c>
      <c r="J8" s="486"/>
    </row>
    <row r="9" spans="2:19" ht="21" customHeight="1">
      <c r="B9" s="248" t="str">
        <f>"Received from "&amp;IF('KEY INPUTS'!C42="State Fiscal Year","Fiscal Year "&amp;'KEY INPUTS'!D33&amp;"",'KEY INPUTS'!D34)&amp;" Budget Appropriation"</f>
        <v>Received from 2024 Budget Appropriation</v>
      </c>
      <c r="C9" s="248"/>
      <c r="D9" s="248"/>
      <c r="E9" s="248"/>
      <c r="F9" s="248"/>
      <c r="G9" s="248"/>
      <c r="H9" s="407"/>
      <c r="I9" s="702" t="s">
        <v>627</v>
      </c>
      <c r="J9" s="457"/>
      <c r="M9"/>
      <c r="N9"/>
      <c r="O9"/>
      <c r="P9"/>
      <c r="Q9"/>
      <c r="R9"/>
      <c r="S9"/>
    </row>
    <row r="10" spans="2:19" ht="21" customHeight="1">
      <c r="B10" s="495"/>
      <c r="C10" s="495"/>
      <c r="D10" s="495"/>
      <c r="E10" s="495"/>
      <c r="F10" s="495"/>
      <c r="G10" s="495"/>
      <c r="H10" s="495"/>
      <c r="I10" s="702" t="s">
        <v>627</v>
      </c>
      <c r="J10" s="457"/>
      <c r="M10"/>
      <c r="N10"/>
      <c r="O10"/>
      <c r="P10"/>
      <c r="Q10"/>
      <c r="R10"/>
      <c r="S10"/>
    </row>
    <row r="11" spans="2:19" ht="11.25" customHeight="1">
      <c r="B11" s="412" t="s">
        <v>176</v>
      </c>
      <c r="C11" s="411"/>
      <c r="D11" s="411"/>
      <c r="E11" s="411"/>
      <c r="F11" s="411"/>
      <c r="G11" s="411"/>
      <c r="H11" s="406"/>
      <c r="I11" s="1458" t="s">
        <v>627</v>
      </c>
      <c r="J11" s="1456"/>
      <c r="M11" s="294"/>
      <c r="N11"/>
      <c r="O11"/>
      <c r="P11"/>
      <c r="Q11"/>
      <c r="R11"/>
      <c r="S11"/>
    </row>
    <row r="12" spans="2:19" ht="12.75" customHeight="1">
      <c r="B12" s="333"/>
      <c r="C12" s="408" t="s">
        <v>177</v>
      </c>
      <c r="D12" s="333"/>
      <c r="E12" s="333"/>
      <c r="F12" s="333"/>
      <c r="G12" s="333"/>
      <c r="H12" s="410"/>
      <c r="I12" s="1459"/>
      <c r="J12" s="1457"/>
      <c r="M12"/>
      <c r="N12"/>
      <c r="O12"/>
      <c r="P12"/>
      <c r="Q12"/>
      <c r="R12"/>
      <c r="S12"/>
    </row>
    <row r="13" spans="2:19" ht="21" customHeight="1">
      <c r="B13" s="514"/>
      <c r="C13" s="869"/>
      <c r="D13" s="514"/>
      <c r="E13" s="514"/>
      <c r="F13" s="514"/>
      <c r="G13" s="514"/>
      <c r="H13" s="514"/>
      <c r="I13" s="527"/>
      <c r="J13" s="293"/>
      <c r="M13"/>
      <c r="N13"/>
      <c r="O13"/>
      <c r="P13"/>
      <c r="Q13"/>
      <c r="R13"/>
      <c r="S13"/>
    </row>
    <row r="14" spans="2:19" ht="21" customHeight="1">
      <c r="B14" s="248" t="s">
        <v>178</v>
      </c>
      <c r="C14" s="248"/>
      <c r="D14" s="248"/>
      <c r="E14" s="248"/>
      <c r="F14" s="248"/>
      <c r="G14" s="248"/>
      <c r="H14" s="248"/>
      <c r="I14" s="702" t="s">
        <v>627</v>
      </c>
      <c r="J14" s="706" t="s">
        <v>627</v>
      </c>
      <c r="M14"/>
      <c r="N14"/>
      <c r="O14"/>
      <c r="P14"/>
      <c r="Q14"/>
      <c r="R14"/>
      <c r="S14"/>
    </row>
    <row r="15" spans="2:19" ht="21" customHeight="1">
      <c r="B15" s="495"/>
      <c r="C15" s="495"/>
      <c r="D15" s="495"/>
      <c r="E15" s="495"/>
      <c r="F15" s="495"/>
      <c r="G15" s="495"/>
      <c r="H15" s="495"/>
      <c r="I15" s="450"/>
      <c r="J15" s="706" t="s">
        <v>627</v>
      </c>
      <c r="M15"/>
      <c r="N15"/>
      <c r="O15"/>
      <c r="P15"/>
      <c r="Q15"/>
      <c r="R15"/>
      <c r="S15"/>
    </row>
    <row r="16" spans="2:19" ht="21" customHeight="1">
      <c r="B16" s="495"/>
      <c r="C16" s="495"/>
      <c r="D16" s="495"/>
      <c r="E16" s="495"/>
      <c r="F16" s="495"/>
      <c r="G16" s="495"/>
      <c r="H16" s="495"/>
      <c r="I16" s="450"/>
      <c r="J16" s="706" t="s">
        <v>627</v>
      </c>
      <c r="M16"/>
      <c r="N16"/>
      <c r="O16"/>
      <c r="P16"/>
      <c r="Q16"/>
      <c r="R16"/>
      <c r="S16"/>
    </row>
    <row r="17" spans="2:19" ht="21" customHeight="1">
      <c r="B17" s="495"/>
      <c r="C17" s="495"/>
      <c r="D17" s="495"/>
      <c r="E17" s="495"/>
      <c r="F17" s="495"/>
      <c r="G17" s="495"/>
      <c r="H17" s="495"/>
      <c r="I17" s="450"/>
      <c r="J17" s="706" t="s">
        <v>627</v>
      </c>
      <c r="M17"/>
      <c r="N17"/>
      <c r="O17"/>
      <c r="P17"/>
      <c r="Q17"/>
      <c r="R17"/>
      <c r="S17"/>
    </row>
    <row r="18" spans="2:19" ht="21" customHeight="1">
      <c r="B18" s="495"/>
      <c r="C18" s="495"/>
      <c r="D18" s="495"/>
      <c r="E18" s="495"/>
      <c r="F18" s="495"/>
      <c r="G18" s="495"/>
      <c r="H18" s="495"/>
      <c r="I18" s="450"/>
      <c r="J18" s="706" t="s">
        <v>627</v>
      </c>
      <c r="M18"/>
      <c r="N18"/>
      <c r="O18"/>
      <c r="P18"/>
      <c r="Q18"/>
      <c r="R18"/>
      <c r="S18"/>
    </row>
    <row r="19" spans="2:19" ht="21" customHeight="1">
      <c r="B19" s="495"/>
      <c r="C19" s="495"/>
      <c r="D19" s="495"/>
      <c r="E19" s="495"/>
      <c r="F19" s="495"/>
      <c r="G19" s="495"/>
      <c r="H19" s="495"/>
      <c r="I19" s="450"/>
      <c r="J19" s="706" t="s">
        <v>627</v>
      </c>
      <c r="M19"/>
      <c r="N19"/>
      <c r="O19"/>
      <c r="P19"/>
      <c r="Q19"/>
      <c r="R19"/>
      <c r="S19"/>
    </row>
    <row r="20" spans="2:19" ht="21" customHeight="1">
      <c r="B20" s="495"/>
      <c r="C20" s="495"/>
      <c r="D20" s="495"/>
      <c r="E20" s="495"/>
      <c r="F20" s="495"/>
      <c r="G20" s="495"/>
      <c r="H20" s="495"/>
      <c r="I20" s="450"/>
      <c r="J20" s="706" t="s">
        <v>627</v>
      </c>
      <c r="M20"/>
      <c r="N20"/>
      <c r="O20"/>
      <c r="P20"/>
      <c r="Q20"/>
      <c r="R20"/>
      <c r="S20"/>
    </row>
    <row r="21" spans="2:19" ht="21" customHeight="1">
      <c r="B21" s="495"/>
      <c r="C21" s="495"/>
      <c r="D21" s="495"/>
      <c r="E21" s="495"/>
      <c r="F21" s="495"/>
      <c r="G21" s="495"/>
      <c r="H21" s="495"/>
      <c r="I21" s="450"/>
      <c r="J21" s="706" t="s">
        <v>627</v>
      </c>
      <c r="M21"/>
      <c r="N21"/>
      <c r="O21"/>
      <c r="P21"/>
      <c r="Q21"/>
      <c r="R21"/>
      <c r="S21"/>
    </row>
    <row r="22" spans="2:19" ht="21" customHeight="1">
      <c r="B22" s="248" t="s">
        <v>179</v>
      </c>
      <c r="C22" s="248"/>
      <c r="D22" s="248"/>
      <c r="E22" s="248"/>
      <c r="F22" s="248"/>
      <c r="G22" s="248"/>
      <c r="H22" s="407"/>
      <c r="I22" s="450"/>
      <c r="J22" s="706" t="s">
        <v>627</v>
      </c>
      <c r="M22"/>
      <c r="N22"/>
      <c r="O22"/>
      <c r="P22"/>
      <c r="Q22"/>
      <c r="R22"/>
      <c r="S22"/>
    </row>
    <row r="23" spans="2:19" ht="21" customHeight="1">
      <c r="B23" s="495"/>
      <c r="C23" s="495"/>
      <c r="D23" s="495"/>
      <c r="E23" s="495"/>
      <c r="F23" s="495"/>
      <c r="G23" s="495"/>
      <c r="H23" s="495"/>
      <c r="I23" s="450"/>
      <c r="J23" s="706" t="s">
        <v>627</v>
      </c>
      <c r="M23"/>
      <c r="N23"/>
      <c r="O23"/>
      <c r="P23"/>
      <c r="Q23"/>
      <c r="R23"/>
      <c r="S23"/>
    </row>
    <row r="24" spans="2:19" ht="21" customHeight="1" thickBot="1">
      <c r="B24" s="248" t="str">
        <f>IF('KEY INPUTS'!C42 = "State Fiscal Year", 'KEY INPUTS'!F26,'KEY INPUTS'!D26)</f>
        <v>Balance - December 31, 2024</v>
      </c>
      <c r="C24" s="248"/>
      <c r="D24" s="248"/>
      <c r="E24" s="248"/>
      <c r="F24" s="248"/>
      <c r="G24" s="248"/>
      <c r="H24" s="407"/>
      <c r="I24" s="768">
        <f>+SUM(J8:J13)-SUM(I13:I23)</f>
        <v>0</v>
      </c>
      <c r="J24" s="766" t="s">
        <v>627</v>
      </c>
      <c r="M24"/>
      <c r="N24"/>
      <c r="O24"/>
      <c r="P24"/>
      <c r="Q24"/>
      <c r="R24"/>
      <c r="S24"/>
    </row>
    <row r="25" spans="2:19" ht="21" customHeight="1" thickTop="1" thickBot="1">
      <c r="I25" s="748">
        <f>SUM(I8:I24)</f>
        <v>0</v>
      </c>
      <c r="J25" s="769">
        <f>SUM(J8:J24)</f>
        <v>0</v>
      </c>
      <c r="M25"/>
      <c r="N25"/>
      <c r="O25"/>
      <c r="P25"/>
      <c r="Q25"/>
      <c r="R25"/>
      <c r="S25"/>
    </row>
    <row r="26" spans="2:19" ht="13.8" thickTop="1"/>
    <row r="30" spans="2:19" ht="22.8">
      <c r="B30" s="1358" t="str">
        <f>UPPER('KEY INPUTS'!D$57)&amp;" UTILITY  CAPITAL  FUND"</f>
        <v xml:space="preserve"> UTILITY  CAPITAL  FUND</v>
      </c>
      <c r="C30" s="1358"/>
      <c r="D30" s="1358"/>
      <c r="E30" s="1358"/>
      <c r="F30" s="1358"/>
      <c r="G30" s="1358"/>
      <c r="H30" s="1358"/>
      <c r="I30" s="1358"/>
      <c r="J30" s="1358"/>
    </row>
    <row r="31" spans="2:19" ht="7.5" customHeight="1"/>
    <row r="32" spans="2:19" ht="15.6">
      <c r="B32" s="1360" t="s">
        <v>180</v>
      </c>
      <c r="C32" s="1360"/>
      <c r="D32" s="1360"/>
      <c r="E32" s="1360"/>
      <c r="F32" s="1360"/>
      <c r="G32" s="1360"/>
      <c r="H32" s="1360"/>
      <c r="I32" s="1360"/>
      <c r="J32" s="1360"/>
    </row>
    <row r="33" spans="2:10" ht="13.8" thickBot="1"/>
    <row r="34" spans="2:10" ht="26.25" customHeight="1" thickTop="1" thickBot="1">
      <c r="B34" s="364"/>
      <c r="C34" s="364"/>
      <c r="D34" s="364"/>
      <c r="E34" s="364"/>
      <c r="F34" s="364"/>
      <c r="G34" s="364"/>
      <c r="H34" s="364"/>
      <c r="I34" s="304" t="s">
        <v>96</v>
      </c>
      <c r="J34" s="308" t="s">
        <v>97</v>
      </c>
    </row>
    <row r="35" spans="2:10" ht="21" customHeight="1" thickTop="1">
      <c r="B35" s="313" t="str">
        <f>IF('KEY INPUTS'!C42 = "State Fiscal Year", 'KEY INPUTS'!F25,'KEY INPUTS'!D25)</f>
        <v>Balance - January 1, 2024</v>
      </c>
      <c r="C35" s="313"/>
      <c r="D35" s="313"/>
      <c r="E35" s="313"/>
      <c r="F35" s="313"/>
      <c r="G35" s="313"/>
      <c r="H35" s="409"/>
      <c r="I35" s="757" t="s">
        <v>627</v>
      </c>
      <c r="J35" s="486"/>
    </row>
    <row r="36" spans="2:10" ht="21" customHeight="1">
      <c r="B36" s="248" t="str">
        <f>"Received from "&amp;IF('KEY INPUTS'!C42="State Fiscal Year","Fiscal Year "&amp;'KEY INPUTS'!D33)&amp;" Budget Appropriation *"</f>
        <v>Received from FALSE Budget Appropriation *</v>
      </c>
      <c r="C36" s="248"/>
      <c r="D36" s="248"/>
      <c r="E36" s="248"/>
      <c r="F36" s="248"/>
      <c r="G36" s="248"/>
      <c r="H36" s="407"/>
      <c r="I36" s="702" t="s">
        <v>627</v>
      </c>
      <c r="J36" s="457"/>
    </row>
    <row r="37" spans="2:10" ht="21" customHeight="1">
      <c r="B37" s="248" t="str">
        <f>"Received from "&amp;IF('KEY INPUTS'!C42="State Fiscal Year","Fiscal Year "&amp;'KEY INPUTS'!D33)&amp;" Emergency Appropriation *"</f>
        <v>Received from FALSE Emergency Appropriation *</v>
      </c>
      <c r="C37" s="248"/>
      <c r="D37" s="248"/>
      <c r="E37" s="248"/>
      <c r="F37" s="248"/>
      <c r="G37" s="248"/>
      <c r="H37" s="407"/>
      <c r="I37" s="702" t="s">
        <v>627</v>
      </c>
      <c r="J37" s="457"/>
    </row>
    <row r="38" spans="2:10" ht="21" customHeight="1">
      <c r="B38" s="514"/>
      <c r="C38" s="869"/>
      <c r="D38" s="514"/>
      <c r="E38" s="514"/>
      <c r="F38" s="514"/>
      <c r="G38" s="514"/>
      <c r="H38" s="514"/>
      <c r="I38" s="527"/>
      <c r="J38" s="293"/>
    </row>
    <row r="39" spans="2:10" ht="21" customHeight="1">
      <c r="B39" s="248" t="s">
        <v>179</v>
      </c>
      <c r="C39" s="248"/>
      <c r="D39" s="248"/>
      <c r="E39" s="248"/>
      <c r="F39" s="248"/>
      <c r="G39" s="248"/>
      <c r="H39" s="407"/>
      <c r="I39" s="450"/>
      <c r="J39" s="706" t="s">
        <v>627</v>
      </c>
    </row>
    <row r="40" spans="2:10" ht="21" customHeight="1">
      <c r="B40" s="495"/>
      <c r="C40" s="495"/>
      <c r="D40" s="495"/>
      <c r="E40" s="495"/>
      <c r="F40" s="495"/>
      <c r="G40" s="495"/>
      <c r="H40" s="495"/>
      <c r="I40" s="450"/>
      <c r="J40" s="706" t="s">
        <v>627</v>
      </c>
    </row>
    <row r="41" spans="2:10" ht="21" customHeight="1" thickBot="1">
      <c r="B41" s="248" t="str">
        <f>IF('KEY INPUTS'!C42 = "State Fiscal Year", 'KEY INPUTS'!F26,'KEY INPUTS'!D26)</f>
        <v>Balance - December 31, 2024</v>
      </c>
      <c r="C41" s="248"/>
      <c r="D41" s="248"/>
      <c r="E41" s="248"/>
      <c r="F41" s="248"/>
      <c r="G41" s="248"/>
      <c r="H41" s="407"/>
      <c r="I41" s="870">
        <f>SUM(J35:J38)-SUM(I38:I40)</f>
        <v>0</v>
      </c>
      <c r="J41" s="766" t="s">
        <v>627</v>
      </c>
    </row>
    <row r="42" spans="2:10" ht="21" customHeight="1" thickTop="1" thickBot="1">
      <c r="I42" s="748">
        <f>SUM(I35:I41)</f>
        <v>0</v>
      </c>
      <c r="J42" s="769">
        <f>SUM(J35:J41)</f>
        <v>0</v>
      </c>
    </row>
    <row r="43" spans="2:10" ht="21" customHeight="1" thickTop="1">
      <c r="I43" s="176"/>
      <c r="J43" s="176"/>
    </row>
    <row r="44" spans="2:10" ht="21" customHeight="1"/>
    <row r="45" spans="2:10" ht="13.5" customHeight="1">
      <c r="B45" s="359" t="str">
        <f>"*The full amount of the "&amp;IF('KEY INPUTS'!C42="State Fiscal Year","Fiscal Year "&amp;'KEY INPUTS'!D33)&amp;" budget appropriation should be transferred to this account unless the balance of"</f>
        <v>*The full amount of the FALSE budget appropriation should be transferred to this account unless the balance of</v>
      </c>
      <c r="C45" s="359"/>
    </row>
    <row r="46" spans="2:10" ht="13.5" customHeight="1">
      <c r="B46" s="359"/>
      <c r="C46" s="359" t="s">
        <v>3581</v>
      </c>
    </row>
    <row r="47" spans="2:10" ht="13.5" customHeight="1">
      <c r="B47" s="359"/>
      <c r="C47" s="359"/>
    </row>
    <row r="48" spans="2:10" ht="13.5" customHeight="1">
      <c r="B48" s="359"/>
      <c r="C48" s="359"/>
    </row>
    <row r="49" spans="2:10" ht="13.5" customHeight="1">
      <c r="B49" s="359"/>
      <c r="C49" s="359"/>
    </row>
    <row r="50" spans="2:10" ht="13.5" customHeight="1">
      <c r="B50" s="359"/>
      <c r="C50" s="359"/>
    </row>
    <row r="51" spans="2:10" ht="13.5" customHeight="1">
      <c r="B51" s="359"/>
      <c r="C51" s="359"/>
    </row>
    <row r="52" spans="2:10" ht="13.5" customHeight="1">
      <c r="B52" s="359"/>
      <c r="C52" s="359"/>
    </row>
    <row r="53" spans="2:10" ht="13.5" customHeight="1">
      <c r="B53" s="359"/>
      <c r="C53" s="359"/>
    </row>
    <row r="54" spans="2:10" ht="13.8">
      <c r="B54" s="1353" t="s">
        <v>3172</v>
      </c>
      <c r="C54" s="1353"/>
      <c r="D54" s="1353"/>
      <c r="E54" s="1353"/>
      <c r="F54" s="1353"/>
      <c r="G54" s="1353"/>
      <c r="H54" s="1353"/>
      <c r="I54" s="1353"/>
      <c r="J54" s="1353"/>
    </row>
  </sheetData>
  <sheetProtection algorithmName="SHA-512" hashValue="UYxSk0QAKMo/ulHXyQYcGJXaA5Vq/0J0zgNqmPW5kwwYCzcPUNmwO0IkIKkQj1jFUtLD33ElNrQXtjYBTH6IIw==" saltValue="6hmd9U8BRLfNB7x6ZOltDw=="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D0E74-B8D2-4478-90EC-0BED65748ACA}">
  <sheetPr codeName="Sheet246">
    <tabColor theme="2" tint="-0.249977111117893"/>
  </sheetPr>
  <dimension ref="B1:AC52"/>
  <sheetViews>
    <sheetView zoomScaleNormal="100" zoomScaleSheetLayoutView="80" workbookViewId="0">
      <selection activeCell="O41" sqref="O41"/>
    </sheetView>
  </sheetViews>
  <sheetFormatPr defaultColWidth="8.88671875" defaultRowHeight="13.2"/>
  <cols>
    <col min="1" max="3" width="4.6640625" style="267" customWidth="1"/>
    <col min="4" max="4" width="4.5546875" style="267" customWidth="1"/>
    <col min="5" max="5" width="8.88671875" style="267"/>
    <col min="6" max="6" width="6.6640625" style="267" customWidth="1"/>
    <col min="7" max="10" width="16.6640625" style="267" customWidth="1"/>
    <col min="11" max="20" width="8.88671875" style="267"/>
    <col min="21" max="23" width="4.6640625" customWidth="1"/>
    <col min="25" max="25" width="6.6640625" customWidth="1"/>
    <col min="26" max="29" width="16.6640625" customWidth="1"/>
    <col min="30" max="16384" width="8.88671875" style="267"/>
  </cols>
  <sheetData>
    <row r="1" spans="2:19">
      <c r="D1" s="359"/>
      <c r="E1" s="359"/>
    </row>
    <row r="2" spans="2:19">
      <c r="D2" s="359"/>
      <c r="E2" s="359"/>
    </row>
    <row r="3" spans="2:19" ht="24.6">
      <c r="B3" s="1460" t="str">
        <f>UPPER('KEY INPUTS'!D$57)&amp;" UTILITY FUND"</f>
        <v xml:space="preserve"> UTILITY FUND</v>
      </c>
      <c r="C3" s="1460"/>
      <c r="D3" s="1460"/>
      <c r="E3" s="1460"/>
      <c r="F3" s="1460"/>
      <c r="G3" s="1460"/>
      <c r="H3" s="1460"/>
      <c r="I3" s="1460"/>
      <c r="J3" s="1460"/>
    </row>
    <row r="5" spans="2:19" ht="17.399999999999999">
      <c r="B5" s="1380" t="str">
        <f>"CAPITAL  IMPROVEMENTS  AUTHORIZED  IN  "&amp;IF('KEY INPUTS'!C42="State Fiscal Year","FISCAL  YEAR  "&amp;'KEY INPUTS'!D33&amp;"",'KEY INPUTS'!D34+1)&amp;""</f>
        <v>CAPITAL  IMPROVEMENTS  AUTHORIZED  IN  2025</v>
      </c>
      <c r="C5" s="1380"/>
      <c r="D5" s="1380"/>
      <c r="E5" s="1380"/>
      <c r="F5" s="1380"/>
      <c r="G5" s="1380"/>
      <c r="H5" s="1380"/>
      <c r="I5" s="1380"/>
      <c r="J5" s="1380"/>
    </row>
    <row r="6" spans="2:19" ht="17.399999999999999">
      <c r="B6" s="1380" t="s">
        <v>3569</v>
      </c>
      <c r="C6" s="1380"/>
      <c r="D6" s="1380"/>
      <c r="E6" s="1380"/>
      <c r="F6" s="1380"/>
      <c r="G6" s="1380"/>
      <c r="H6" s="1380"/>
      <c r="I6" s="1380"/>
      <c r="J6" s="1380"/>
    </row>
    <row r="7" spans="2:19" ht="13.8" thickBot="1"/>
    <row r="8" spans="2:19" ht="13.8" thickTop="1">
      <c r="B8" s="323"/>
      <c r="C8" s="323"/>
      <c r="D8" s="323"/>
      <c r="E8" s="323"/>
      <c r="F8" s="323"/>
      <c r="G8" s="324"/>
      <c r="H8" s="324"/>
      <c r="I8" s="324"/>
      <c r="J8" s="353" t="s">
        <v>240</v>
      </c>
    </row>
    <row r="9" spans="2:19">
      <c r="C9" s="1352" t="s">
        <v>413</v>
      </c>
      <c r="D9" s="1352"/>
      <c r="E9" s="1352"/>
      <c r="G9" s="320" t="s">
        <v>414</v>
      </c>
      <c r="H9" s="320" t="s">
        <v>201</v>
      </c>
      <c r="I9" s="320" t="s">
        <v>204</v>
      </c>
      <c r="J9" s="302" t="s">
        <v>241</v>
      </c>
    </row>
    <row r="10" spans="2:19">
      <c r="G10" s="320" t="s">
        <v>202</v>
      </c>
      <c r="H10" s="320" t="s">
        <v>203</v>
      </c>
      <c r="I10" s="320" t="s">
        <v>205</v>
      </c>
      <c r="J10" s="302" t="str">
        <f>"of " &amp;IF('KEY INPUTS'!C42="State Fiscal Year","FY "&amp;'KEY INPUTS'!D33&amp;"",'KEY INPUTS'!D34+1)&amp;" or"</f>
        <v>of 2025 or</v>
      </c>
    </row>
    <row r="11" spans="2:19" ht="13.8" thickBot="1">
      <c r="B11" s="318"/>
      <c r="C11" s="318"/>
      <c r="D11" s="318"/>
      <c r="E11" s="318"/>
      <c r="F11" s="318"/>
      <c r="G11" s="317"/>
      <c r="H11" s="317" t="s">
        <v>441</v>
      </c>
      <c r="I11" s="317" t="s">
        <v>239</v>
      </c>
      <c r="J11" s="416" t="s">
        <v>3579</v>
      </c>
      <c r="M11"/>
      <c r="N11"/>
      <c r="O11"/>
      <c r="P11"/>
      <c r="Q11"/>
      <c r="R11"/>
      <c r="S11"/>
    </row>
    <row r="12" spans="2:19" ht="21" customHeight="1" thickTop="1">
      <c r="B12" s="518"/>
      <c r="C12" s="518"/>
      <c r="D12" s="518"/>
      <c r="E12" s="518"/>
      <c r="F12" s="518"/>
      <c r="G12" s="454"/>
      <c r="H12" s="454"/>
      <c r="I12" s="454"/>
      <c r="J12" s="486"/>
      <c r="M12"/>
      <c r="N12"/>
      <c r="O12"/>
      <c r="P12"/>
      <c r="Q12"/>
      <c r="R12"/>
      <c r="S12"/>
    </row>
    <row r="13" spans="2:19" ht="21" customHeight="1">
      <c r="B13" s="495"/>
      <c r="C13" s="495"/>
      <c r="D13" s="495"/>
      <c r="E13" s="495"/>
      <c r="F13" s="495"/>
      <c r="G13" s="450"/>
      <c r="H13" s="450"/>
      <c r="I13" s="450"/>
      <c r="J13" s="457"/>
      <c r="M13" s="294"/>
      <c r="N13"/>
      <c r="O13"/>
      <c r="P13"/>
      <c r="Q13"/>
      <c r="R13"/>
      <c r="S13"/>
    </row>
    <row r="14" spans="2:19" ht="21" customHeight="1">
      <c r="B14" s="495"/>
      <c r="C14" s="495"/>
      <c r="D14" s="495"/>
      <c r="E14" s="495"/>
      <c r="F14" s="495"/>
      <c r="G14" s="450"/>
      <c r="H14" s="450"/>
      <c r="I14" s="450"/>
      <c r="J14" s="457"/>
      <c r="M14"/>
      <c r="N14"/>
      <c r="O14"/>
      <c r="P14"/>
      <c r="Q14"/>
      <c r="R14"/>
      <c r="S14"/>
    </row>
    <row r="15" spans="2:19" ht="21" customHeight="1">
      <c r="B15" s="495"/>
      <c r="C15" s="495"/>
      <c r="D15" s="495"/>
      <c r="E15" s="495"/>
      <c r="F15" s="495"/>
      <c r="G15" s="450"/>
      <c r="H15" s="450"/>
      <c r="I15" s="450"/>
      <c r="J15" s="457"/>
      <c r="M15"/>
      <c r="N15"/>
      <c r="O15"/>
      <c r="P15"/>
      <c r="Q15"/>
      <c r="R15"/>
      <c r="S15"/>
    </row>
    <row r="16" spans="2:19" ht="21" customHeight="1">
      <c r="B16" s="495"/>
      <c r="C16" s="495"/>
      <c r="D16" s="495"/>
      <c r="E16" s="495"/>
      <c r="F16" s="495"/>
      <c r="G16" s="450"/>
      <c r="H16" s="450"/>
      <c r="I16" s="450"/>
      <c r="J16" s="457"/>
      <c r="M16"/>
      <c r="N16"/>
      <c r="O16"/>
      <c r="P16"/>
      <c r="Q16"/>
      <c r="R16"/>
      <c r="S16"/>
    </row>
    <row r="17" spans="2:19" ht="21" customHeight="1">
      <c r="B17" s="495"/>
      <c r="C17" s="495"/>
      <c r="D17" s="495"/>
      <c r="E17" s="495"/>
      <c r="F17" s="495"/>
      <c r="G17" s="450"/>
      <c r="H17" s="450"/>
      <c r="I17" s="450"/>
      <c r="J17" s="457"/>
      <c r="M17"/>
      <c r="N17"/>
      <c r="O17"/>
      <c r="P17"/>
      <c r="Q17"/>
      <c r="R17"/>
      <c r="S17"/>
    </row>
    <row r="18" spans="2:19" ht="21" customHeight="1">
      <c r="B18" s="495"/>
      <c r="C18" s="495"/>
      <c r="D18" s="495"/>
      <c r="E18" s="495"/>
      <c r="F18" s="495"/>
      <c r="G18" s="450"/>
      <c r="H18" s="450"/>
      <c r="I18" s="450"/>
      <c r="J18" s="457"/>
      <c r="M18"/>
      <c r="N18"/>
      <c r="O18"/>
      <c r="P18"/>
      <c r="Q18"/>
      <c r="R18"/>
      <c r="S18"/>
    </row>
    <row r="19" spans="2:19" ht="21" customHeight="1">
      <c r="B19" s="495"/>
      <c r="C19" s="495"/>
      <c r="D19" s="495"/>
      <c r="E19" s="495"/>
      <c r="F19" s="495"/>
      <c r="G19" s="450"/>
      <c r="H19" s="450"/>
      <c r="I19" s="450"/>
      <c r="J19" s="457"/>
      <c r="M19"/>
      <c r="N19"/>
      <c r="O19"/>
      <c r="P19"/>
      <c r="Q19"/>
      <c r="R19"/>
      <c r="S19"/>
    </row>
    <row r="20" spans="2:19" ht="21" customHeight="1">
      <c r="B20" s="495"/>
      <c r="C20" s="495"/>
      <c r="D20" s="495"/>
      <c r="E20" s="495"/>
      <c r="F20" s="495"/>
      <c r="G20" s="450"/>
      <c r="H20" s="450"/>
      <c r="I20" s="450"/>
      <c r="J20" s="457"/>
      <c r="M20"/>
      <c r="N20"/>
      <c r="O20"/>
      <c r="P20"/>
      <c r="Q20"/>
      <c r="R20"/>
      <c r="S20"/>
    </row>
    <row r="21" spans="2:19" ht="21" customHeight="1" thickBot="1">
      <c r="B21" s="495"/>
      <c r="C21" s="495"/>
      <c r="D21" s="495"/>
      <c r="E21" s="495"/>
      <c r="F21" s="495"/>
      <c r="G21" s="475"/>
      <c r="H21" s="475"/>
      <c r="I21" s="475"/>
      <c r="J21" s="516"/>
      <c r="M21"/>
      <c r="N21"/>
      <c r="O21"/>
      <c r="P21"/>
      <c r="Q21"/>
      <c r="R21"/>
      <c r="S21"/>
    </row>
    <row r="22" spans="2:19" ht="21" customHeight="1" thickTop="1" thickBot="1">
      <c r="B22" s="318"/>
      <c r="C22" s="318"/>
      <c r="D22" s="318"/>
      <c r="E22" s="318"/>
      <c r="F22" s="318"/>
      <c r="G22" s="785">
        <f>SUM(G12:G21)</f>
        <v>0</v>
      </c>
      <c r="H22" s="785">
        <f>SUM(H12:H21)</f>
        <v>0</v>
      </c>
      <c r="I22" s="785">
        <f>SUM(I12:I21)</f>
        <v>0</v>
      </c>
      <c r="J22" s="917">
        <f>SUM(J12:J21)</f>
        <v>0</v>
      </c>
      <c r="M22"/>
      <c r="N22"/>
      <c r="O22"/>
      <c r="P22"/>
      <c r="Q22"/>
      <c r="R22"/>
      <c r="S22"/>
    </row>
    <row r="23" spans="2:19" ht="13.8" thickTop="1">
      <c r="M23"/>
      <c r="N23"/>
      <c r="O23"/>
      <c r="P23"/>
      <c r="Q23"/>
      <c r="R23"/>
      <c r="S23"/>
    </row>
    <row r="24" spans="2:19">
      <c r="M24"/>
      <c r="N24"/>
      <c r="O24"/>
      <c r="P24"/>
      <c r="Q24"/>
      <c r="R24"/>
      <c r="S24"/>
    </row>
    <row r="25" spans="2:19">
      <c r="M25"/>
      <c r="N25"/>
      <c r="O25"/>
      <c r="P25"/>
      <c r="Q25"/>
      <c r="R25"/>
      <c r="S25"/>
    </row>
    <row r="26" spans="2:19">
      <c r="M26"/>
      <c r="N26"/>
      <c r="O26"/>
      <c r="P26"/>
      <c r="Q26"/>
      <c r="R26"/>
      <c r="S26"/>
    </row>
    <row r="27" spans="2:19">
      <c r="M27"/>
      <c r="N27"/>
      <c r="O27"/>
      <c r="P27"/>
      <c r="Q27"/>
      <c r="R27"/>
      <c r="S27"/>
    </row>
    <row r="28" spans="2:19" ht="22.8">
      <c r="B28" s="1358" t="str">
        <f>UPPER('KEY INPUTS'!D$57)&amp;" UTILITY  CAPITAL  FUND"</f>
        <v xml:space="preserve"> UTILITY  CAPITAL  FUND</v>
      </c>
      <c r="C28" s="1358"/>
      <c r="D28" s="1358"/>
      <c r="E28" s="1358"/>
      <c r="F28" s="1358"/>
      <c r="G28" s="1358"/>
      <c r="H28" s="1358"/>
      <c r="I28" s="1358"/>
      <c r="J28" s="1358"/>
    </row>
    <row r="29" spans="2:19" ht="22.8">
      <c r="B29" s="1358" t="s">
        <v>154</v>
      </c>
      <c r="C29" s="1358"/>
      <c r="D29" s="1358"/>
      <c r="E29" s="1358"/>
      <c r="F29" s="1358"/>
      <c r="G29" s="1358"/>
      <c r="H29" s="1358"/>
      <c r="I29" s="1358"/>
      <c r="J29" s="1358"/>
    </row>
    <row r="31" spans="2:19" ht="15.6">
      <c r="B31" s="1354" t="str">
        <f>IF('KEY INPUTS'!C42="State Fiscal Year",(UPPER("Fiscal Year "&amp;'KEY INPUTS'!D33))&amp;"",'KEY INPUTS'!D34+1)&amp;""</f>
        <v>2025</v>
      </c>
      <c r="C31" s="1354"/>
      <c r="D31" s="1354"/>
      <c r="E31" s="1354"/>
      <c r="F31" s="1354"/>
      <c r="G31" s="1354"/>
      <c r="H31" s="1354"/>
      <c r="I31" s="1354"/>
      <c r="J31" s="1354"/>
    </row>
    <row r="32" spans="2:19" ht="13.8" thickBot="1"/>
    <row r="33" spans="2:10" ht="28.5" customHeight="1" thickTop="1" thickBot="1">
      <c r="B33" s="364"/>
      <c r="C33" s="364"/>
      <c r="D33" s="364"/>
      <c r="E33" s="364"/>
      <c r="F33" s="364"/>
      <c r="G33" s="364"/>
      <c r="H33" s="364"/>
      <c r="I33" s="304" t="s">
        <v>96</v>
      </c>
      <c r="J33" s="308" t="s">
        <v>97</v>
      </c>
    </row>
    <row r="34" spans="2:10" ht="21" customHeight="1" thickTop="1">
      <c r="B34" s="547" t="str">
        <f>IF('KEY INPUTS'!C42 = "State Fiscal Year", 'KEY INPUTS'!F25,'KEY INPUTS'!D25)</f>
        <v>Balance - January 1, 2024</v>
      </c>
      <c r="C34" s="313"/>
      <c r="D34" s="313"/>
      <c r="E34" s="313"/>
      <c r="F34" s="313"/>
      <c r="G34" s="313"/>
      <c r="H34" s="313"/>
      <c r="I34" s="801" t="s">
        <v>627</v>
      </c>
      <c r="J34" s="485"/>
    </row>
    <row r="35" spans="2:10" ht="21" customHeight="1">
      <c r="B35" s="248" t="s">
        <v>155</v>
      </c>
      <c r="C35" s="248"/>
      <c r="D35" s="248"/>
      <c r="E35" s="248"/>
      <c r="F35" s="248"/>
      <c r="G35" s="248"/>
      <c r="H35" s="248"/>
      <c r="I35" s="804" t="s">
        <v>627</v>
      </c>
      <c r="J35" s="429"/>
    </row>
    <row r="36" spans="2:10" ht="21" customHeight="1">
      <c r="B36" s="248" t="s">
        <v>156</v>
      </c>
      <c r="C36" s="248"/>
      <c r="D36" s="248"/>
      <c r="E36" s="248"/>
      <c r="F36" s="248"/>
      <c r="G36" s="248"/>
      <c r="H36" s="248"/>
      <c r="I36" s="804" t="s">
        <v>627</v>
      </c>
      <c r="J36" s="429"/>
    </row>
    <row r="37" spans="2:10" ht="21" customHeight="1">
      <c r="B37" s="495" t="s">
        <v>3212</v>
      </c>
      <c r="C37" s="495"/>
      <c r="D37" s="495"/>
      <c r="E37" s="495"/>
      <c r="F37" s="495"/>
      <c r="G37" s="495"/>
      <c r="H37" s="495"/>
      <c r="I37" s="291"/>
      <c r="J37" s="429"/>
    </row>
    <row r="38" spans="2:10" ht="21" customHeight="1">
      <c r="B38" s="495"/>
      <c r="C38" s="495"/>
      <c r="D38" s="495"/>
      <c r="E38" s="495"/>
      <c r="F38" s="495"/>
      <c r="G38" s="495"/>
      <c r="H38" s="495"/>
      <c r="I38" s="291"/>
      <c r="J38" s="429"/>
    </row>
    <row r="39" spans="2:10" ht="21" customHeight="1">
      <c r="B39" s="495"/>
      <c r="C39" s="495"/>
      <c r="D39" s="495"/>
      <c r="E39" s="495"/>
      <c r="F39" s="495"/>
      <c r="G39" s="495"/>
      <c r="H39" s="495"/>
      <c r="I39" s="291"/>
      <c r="J39" s="429"/>
    </row>
    <row r="40" spans="2:10" ht="21" customHeight="1">
      <c r="B40" s="248" t="s">
        <v>3174</v>
      </c>
      <c r="C40" s="248"/>
      <c r="D40" s="248"/>
      <c r="E40" s="248"/>
      <c r="F40" s="248"/>
      <c r="G40" s="248"/>
      <c r="H40" s="248"/>
      <c r="I40" s="291"/>
      <c r="J40" s="885" t="s">
        <v>627</v>
      </c>
    </row>
    <row r="41" spans="2:10" ht="21" customHeight="1">
      <c r="B41" s="248" t="str">
        <f>"Appropriation to "&amp;IF('KEY INPUTS'!C42="State Fiscal Year","Fiscal Year "&amp;'KEY INPUTS'!D33&amp;"",'KEY INPUTS'!D34+1)&amp;" Budget Reserve"</f>
        <v>Appropriation to 2025 Budget Reserve</v>
      </c>
      <c r="C41" s="248"/>
      <c r="D41" s="248"/>
      <c r="E41" s="248"/>
      <c r="F41" s="248"/>
      <c r="G41" s="414"/>
      <c r="H41" s="248"/>
      <c r="I41" s="426"/>
      <c r="J41" s="885" t="s">
        <v>627</v>
      </c>
    </row>
    <row r="42" spans="2:10" ht="21" customHeight="1">
      <c r="B42" s="248" t="str">
        <f>IF('KEY INPUTS'!C42 = "State Fiscal Year", 'KEY INPUTS'!F26,'KEY INPUTS'!D26)</f>
        <v>Balance - December 31, 2024</v>
      </c>
      <c r="C42" s="248"/>
      <c r="D42" s="248"/>
      <c r="E42" s="248"/>
      <c r="F42" s="248"/>
      <c r="G42" s="248"/>
      <c r="H42" s="248"/>
      <c r="I42" s="629">
        <f>SUM(J34:J39)-SUM(I37:I41)</f>
        <v>0</v>
      </c>
      <c r="J42" s="885" t="s">
        <v>627</v>
      </c>
    </row>
    <row r="43" spans="2:10" ht="21" customHeight="1" thickBot="1">
      <c r="I43" s="770">
        <f>SUM(I34:I42)</f>
        <v>0</v>
      </c>
      <c r="J43" s="918">
        <f>SUM(J34:J42)</f>
        <v>0</v>
      </c>
    </row>
    <row r="44" spans="2:10" ht="21" customHeight="1" thickTop="1">
      <c r="J44" s="513"/>
    </row>
    <row r="45" spans="2:10" ht="21" customHeight="1"/>
    <row r="46" spans="2:10" ht="21" customHeight="1"/>
    <row r="47" spans="2:10" ht="21" customHeight="1"/>
    <row r="48" spans="2:10" ht="21" customHeight="1"/>
    <row r="49" spans="2:10" ht="21" customHeight="1"/>
    <row r="52" spans="2:10" ht="13.8">
      <c r="B52" s="1353" t="s">
        <v>3173</v>
      </c>
      <c r="C52" s="1353"/>
      <c r="D52" s="1353"/>
      <c r="E52" s="1353"/>
      <c r="F52" s="1353"/>
      <c r="G52" s="1353"/>
      <c r="H52" s="1353"/>
      <c r="I52" s="1353"/>
      <c r="J52" s="1353"/>
    </row>
  </sheetData>
  <sheetProtection algorithmName="SHA-512" hashValue="blgl0Pj3gl6fP9kul376qyWYcyZkkNq8jF4HZqDK371tQRghepyNfn5LpTz9oSk9NS2vzRK1RuAtwQiI/kZmdw==" saltValue="ZkelkP+kH54P8bsK+VumCg==" spinCount="100000"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7CDF2-7A60-4033-94D2-903257812841}">
  <sheetPr codeName="Sheet247">
    <tabColor theme="7" tint="0.39997558519241921"/>
  </sheetPr>
  <dimension ref="B2:R57"/>
  <sheetViews>
    <sheetView zoomScaleNormal="100" zoomScaleSheetLayoutView="80" workbookViewId="0">
      <selection activeCell="F42" sqref="F42"/>
    </sheetView>
  </sheetViews>
  <sheetFormatPr defaultColWidth="8.88671875" defaultRowHeight="13.2"/>
  <cols>
    <col min="1" max="1" width="4.6640625" style="267" customWidth="1"/>
    <col min="2" max="2" width="4.88671875" style="267" customWidth="1"/>
    <col min="3" max="4" width="4.6640625" style="267" customWidth="1"/>
    <col min="5" max="5" width="30.6640625" style="267" customWidth="1"/>
    <col min="6" max="6" width="15.6640625" style="267" customWidth="1"/>
    <col min="7" max="8" width="16.6640625" style="267" customWidth="1"/>
    <col min="9" max="9" width="3.6640625" style="267" bestFit="1" customWidth="1"/>
    <col min="10" max="10" width="13.5546875" style="267" bestFit="1" customWidth="1"/>
    <col min="11" max="16384" width="8.88671875" style="267"/>
  </cols>
  <sheetData>
    <row r="2" spans="2:18">
      <c r="B2" s="1357" t="s">
        <v>35</v>
      </c>
      <c r="C2" s="1357"/>
      <c r="D2" s="1357"/>
      <c r="E2" s="1357"/>
      <c r="F2" s="1357"/>
      <c r="G2" s="1357"/>
      <c r="H2" s="1357"/>
    </row>
    <row r="3" spans="2:18">
      <c r="B3" s="1357" t="s">
        <v>449</v>
      </c>
      <c r="C3" s="1357"/>
      <c r="D3" s="1357"/>
      <c r="E3" s="1357"/>
      <c r="F3" s="1357"/>
      <c r="G3" s="1357"/>
      <c r="H3" s="1357"/>
    </row>
    <row r="5" spans="2:18" ht="22.8">
      <c r="B5" s="1358" t="s">
        <v>424</v>
      </c>
      <c r="C5" s="1358"/>
      <c r="D5" s="1358"/>
      <c r="E5" s="1358"/>
      <c r="F5" s="1358"/>
      <c r="G5" s="1358"/>
      <c r="H5" s="1358"/>
    </row>
    <row r="6" spans="2:18" ht="22.8">
      <c r="B6" s="1358" t="str">
        <f>"TRIAL  BALANCE - "&amp;UPPER('KEY INPUTS'!D58)&amp;"  UTILITY  FUND"</f>
        <v>TRIAL  BALANCE -   UTILITY  FUND</v>
      </c>
      <c r="C6" s="1358"/>
      <c r="D6" s="1358"/>
      <c r="E6" s="1358"/>
      <c r="F6" s="1358"/>
      <c r="G6" s="1358"/>
      <c r="H6" s="1358"/>
    </row>
    <row r="7" spans="2:18" ht="15.6">
      <c r="B7" s="1359" t="str">
        <f>IF('KEY INPUTS'!C42 = "State Fiscal Year", 'KEY INPUTS'!F45,'KEY INPUTS'!D45)</f>
        <v>AS  AT  DECEMBER  31, 2024</v>
      </c>
      <c r="C7" s="1360"/>
      <c r="D7" s="1360"/>
      <c r="E7" s="1360"/>
      <c r="F7" s="1360"/>
      <c r="G7" s="1360"/>
      <c r="H7" s="1360"/>
    </row>
    <row r="8" spans="2:18" ht="15.6">
      <c r="B8" s="1354" t="s">
        <v>450</v>
      </c>
      <c r="C8" s="1354"/>
      <c r="D8" s="1354"/>
      <c r="E8" s="1354"/>
      <c r="F8" s="1354"/>
      <c r="G8" s="1354"/>
      <c r="H8" s="1354"/>
    </row>
    <row r="9" spans="2:18">
      <c r="B9" s="1355" t="s">
        <v>70</v>
      </c>
      <c r="C9" s="1355"/>
      <c r="D9" s="1355"/>
      <c r="E9" s="1355"/>
      <c r="F9" s="1355"/>
      <c r="G9" s="1355"/>
      <c r="H9" s="1355"/>
    </row>
    <row r="10" spans="2:18" ht="15" customHeight="1" thickBot="1">
      <c r="B10" s="1356" t="s">
        <v>71</v>
      </c>
      <c r="C10" s="1356"/>
      <c r="D10" s="1356"/>
      <c r="E10" s="1356"/>
      <c r="F10" s="1356"/>
      <c r="G10" s="1356"/>
      <c r="H10" s="1356"/>
    </row>
    <row r="11" spans="2:18" ht="36" customHeight="1" thickTop="1" thickBot="1">
      <c r="B11" s="1350" t="s">
        <v>95</v>
      </c>
      <c r="C11" s="1350"/>
      <c r="D11" s="1350"/>
      <c r="E11" s="1350"/>
      <c r="F11" s="1351"/>
      <c r="G11" s="304" t="s">
        <v>96</v>
      </c>
      <c r="H11" s="308" t="s">
        <v>97</v>
      </c>
      <c r="L11"/>
      <c r="M11"/>
      <c r="N11"/>
      <c r="O11"/>
      <c r="P11"/>
      <c r="Q11"/>
      <c r="R11"/>
    </row>
    <row r="12" spans="2:18" ht="21" customHeight="1" thickTop="1">
      <c r="G12" s="775"/>
      <c r="H12" s="776"/>
      <c r="L12"/>
      <c r="M12"/>
      <c r="N12"/>
      <c r="O12"/>
      <c r="P12"/>
      <c r="Q12"/>
      <c r="R12"/>
    </row>
    <row r="13" spans="2:18" ht="21" customHeight="1">
      <c r="B13" s="248" t="s">
        <v>194</v>
      </c>
      <c r="C13" s="248"/>
      <c r="D13" s="248"/>
      <c r="E13" s="248"/>
      <c r="F13" s="248"/>
      <c r="G13" s="450"/>
      <c r="H13" s="457"/>
      <c r="J13" s="573"/>
      <c r="L13" s="294"/>
      <c r="M13"/>
      <c r="N13"/>
      <c r="O13"/>
      <c r="P13"/>
      <c r="Q13"/>
      <c r="R13"/>
    </row>
    <row r="14" spans="2:18" ht="21" customHeight="1">
      <c r="B14" s="495" t="s">
        <v>315</v>
      </c>
      <c r="C14" s="495"/>
      <c r="D14" s="495"/>
      <c r="E14" s="495"/>
      <c r="F14" s="499"/>
      <c r="G14" s="450"/>
      <c r="H14" s="457"/>
      <c r="J14" s="573"/>
      <c r="L14"/>
      <c r="M14"/>
      <c r="N14"/>
      <c r="O14"/>
      <c r="P14"/>
      <c r="Q14"/>
      <c r="R14"/>
    </row>
    <row r="15" spans="2:18" ht="21" customHeight="1">
      <c r="B15" s="496"/>
      <c r="C15" s="496"/>
      <c r="D15" s="496"/>
      <c r="E15" s="496"/>
      <c r="F15" s="496"/>
      <c r="G15" s="450"/>
      <c r="H15" s="457"/>
      <c r="L15"/>
      <c r="M15"/>
      <c r="N15"/>
      <c r="O15"/>
      <c r="P15"/>
      <c r="Q15"/>
      <c r="R15"/>
    </row>
    <row r="16" spans="2:18" ht="21" customHeight="1">
      <c r="B16" s="495" t="s">
        <v>3213</v>
      </c>
      <c r="C16" s="495"/>
      <c r="D16" s="495"/>
      <c r="E16" s="495"/>
      <c r="F16" s="495"/>
      <c r="G16" s="772"/>
      <c r="H16" s="772"/>
      <c r="L16"/>
      <c r="M16"/>
      <c r="N16"/>
      <c r="O16"/>
      <c r="P16"/>
      <c r="Q16"/>
      <c r="R16"/>
    </row>
    <row r="17" spans="2:18" ht="21" customHeight="1">
      <c r="B17" s="495" t="s">
        <v>3213</v>
      </c>
      <c r="C17" s="495"/>
      <c r="D17" s="495"/>
      <c r="E17" s="495"/>
      <c r="F17" s="495"/>
      <c r="G17" s="772"/>
      <c r="H17" s="772"/>
      <c r="L17"/>
      <c r="M17"/>
      <c r="N17"/>
      <c r="O17"/>
      <c r="P17"/>
      <c r="Q17"/>
      <c r="R17"/>
    </row>
    <row r="18" spans="2:18" ht="21" customHeight="1">
      <c r="B18" s="495"/>
      <c r="C18" s="495"/>
      <c r="D18" s="495"/>
      <c r="E18" s="495"/>
      <c r="F18" s="495"/>
      <c r="G18" s="772"/>
      <c r="H18" s="772"/>
      <c r="L18"/>
      <c r="M18"/>
      <c r="N18"/>
      <c r="O18"/>
      <c r="P18"/>
      <c r="Q18"/>
      <c r="R18"/>
    </row>
    <row r="19" spans="2:18" ht="21" customHeight="1">
      <c r="B19" s="385" t="s">
        <v>3202</v>
      </c>
      <c r="G19" s="777"/>
      <c r="H19" s="376"/>
      <c r="L19"/>
      <c r="M19"/>
      <c r="N19"/>
      <c r="O19"/>
      <c r="P19"/>
      <c r="Q19"/>
      <c r="R19"/>
    </row>
    <row r="20" spans="2:18" ht="21" customHeight="1">
      <c r="B20" s="248" t="s">
        <v>3203</v>
      </c>
      <c r="C20" s="248"/>
      <c r="D20" s="248"/>
      <c r="E20" s="248"/>
      <c r="F20" s="248"/>
      <c r="G20" s="778">
        <f>+'47-Utility5'!L24</f>
        <v>0</v>
      </c>
      <c r="H20" s="779"/>
      <c r="L20"/>
      <c r="M20"/>
      <c r="N20"/>
      <c r="O20"/>
      <c r="P20"/>
      <c r="Q20"/>
      <c r="R20"/>
    </row>
    <row r="21" spans="2:18" ht="21" customHeight="1">
      <c r="B21" s="248" t="s">
        <v>3204</v>
      </c>
      <c r="C21" s="248"/>
      <c r="D21" s="248"/>
      <c r="E21" s="248"/>
      <c r="F21" s="248"/>
      <c r="G21" s="533">
        <f>+'47-Utility5'!L54</f>
        <v>0</v>
      </c>
      <c r="L21"/>
      <c r="M21"/>
      <c r="N21"/>
      <c r="O21"/>
      <c r="P21"/>
      <c r="Q21"/>
      <c r="R21"/>
    </row>
    <row r="22" spans="2:18" ht="21" customHeight="1">
      <c r="B22" s="495"/>
      <c r="C22" s="495"/>
      <c r="D22" s="495"/>
      <c r="E22" s="495"/>
      <c r="F22" s="495"/>
      <c r="G22" s="450"/>
      <c r="H22" s="457"/>
      <c r="L22"/>
      <c r="M22"/>
      <c r="N22"/>
      <c r="O22"/>
      <c r="P22"/>
      <c r="Q22"/>
      <c r="R22"/>
    </row>
    <row r="23" spans="2:18" ht="21" customHeight="1">
      <c r="B23" s="495"/>
      <c r="C23" s="495"/>
      <c r="D23" s="495"/>
      <c r="E23" s="495"/>
      <c r="F23" s="495"/>
      <c r="G23" s="450"/>
      <c r="H23" s="457"/>
      <c r="J23" s="573"/>
      <c r="L23"/>
      <c r="M23"/>
      <c r="N23"/>
      <c r="O23"/>
      <c r="P23"/>
      <c r="Q23"/>
      <c r="R23"/>
    </row>
    <row r="24" spans="2:18" ht="21" customHeight="1">
      <c r="B24" s="495"/>
      <c r="C24" s="495"/>
      <c r="D24" s="495"/>
      <c r="E24" s="495"/>
      <c r="F24" s="495"/>
      <c r="G24" s="450"/>
      <c r="H24" s="457"/>
      <c r="J24" s="573"/>
      <c r="L24"/>
      <c r="M24"/>
      <c r="N24"/>
      <c r="O24"/>
      <c r="P24"/>
      <c r="Q24"/>
      <c r="R24"/>
    </row>
    <row r="25" spans="2:18" ht="21" customHeight="1">
      <c r="B25" s="495"/>
      <c r="C25" s="495"/>
      <c r="D25" s="495"/>
      <c r="E25" s="495"/>
      <c r="F25" s="495"/>
      <c r="G25" s="450"/>
      <c r="H25" s="457"/>
      <c r="L25"/>
      <c r="M25"/>
      <c r="N25"/>
      <c r="O25"/>
      <c r="P25"/>
      <c r="Q25"/>
      <c r="R25"/>
    </row>
    <row r="26" spans="2:18" ht="21" customHeight="1">
      <c r="B26" s="248" t="s">
        <v>3205</v>
      </c>
      <c r="C26" s="248"/>
      <c r="D26" s="248"/>
      <c r="E26" s="248"/>
      <c r="F26" s="248"/>
      <c r="G26" s="533"/>
      <c r="H26" s="780"/>
      <c r="L26"/>
      <c r="M26"/>
      <c r="N26"/>
      <c r="O26"/>
      <c r="P26"/>
      <c r="Q26"/>
      <c r="R26"/>
    </row>
    <row r="27" spans="2:18" ht="21" customHeight="1">
      <c r="B27" s="495"/>
      <c r="C27" s="495"/>
      <c r="D27" s="495"/>
      <c r="E27" s="495"/>
      <c r="F27" s="495"/>
      <c r="G27" s="450"/>
      <c r="H27" s="457"/>
      <c r="L27"/>
      <c r="M27"/>
      <c r="N27"/>
      <c r="O27"/>
      <c r="P27"/>
      <c r="Q27"/>
      <c r="R27"/>
    </row>
    <row r="28" spans="2:18" ht="21" customHeight="1">
      <c r="B28" s="495"/>
      <c r="C28" s="495"/>
      <c r="D28" s="495"/>
      <c r="E28" s="495"/>
      <c r="F28" s="495"/>
      <c r="G28" s="450"/>
      <c r="H28" s="457"/>
    </row>
    <row r="29" spans="2:18" ht="21" customHeight="1">
      <c r="B29" s="495"/>
      <c r="C29" s="495"/>
      <c r="D29" s="495"/>
      <c r="E29" s="495"/>
      <c r="F29" s="495"/>
      <c r="G29" s="450"/>
      <c r="H29" s="457"/>
    </row>
    <row r="30" spans="2:18" ht="21" customHeight="1">
      <c r="B30" s="307" t="s">
        <v>3206</v>
      </c>
      <c r="C30" s="248"/>
      <c r="D30" s="248"/>
      <c r="E30" s="248"/>
      <c r="F30" s="248"/>
      <c r="G30" s="533"/>
      <c r="H30" s="780"/>
    </row>
    <row r="31" spans="2:18" ht="21" customHeight="1">
      <c r="B31" s="248" t="s">
        <v>3135</v>
      </c>
      <c r="C31" s="248"/>
      <c r="D31" s="248"/>
      <c r="E31" s="248"/>
      <c r="F31" s="248"/>
      <c r="G31" s="450"/>
      <c r="H31" s="780">
        <f>+'44-Utility5'!I37</f>
        <v>0</v>
      </c>
      <c r="J31" s="573"/>
    </row>
    <row r="32" spans="2:18" ht="21" customHeight="1">
      <c r="B32" s="248" t="s">
        <v>3134</v>
      </c>
      <c r="C32" s="248"/>
      <c r="D32" s="248"/>
      <c r="E32" s="248"/>
      <c r="F32" s="248"/>
      <c r="G32" s="450"/>
      <c r="H32" s="457"/>
    </row>
    <row r="33" spans="2:18" ht="21" customHeight="1">
      <c r="B33" s="248" t="s">
        <v>3133</v>
      </c>
      <c r="C33" s="248"/>
      <c r="D33" s="248"/>
      <c r="E33" s="248"/>
      <c r="F33" s="248"/>
      <c r="G33" s="450"/>
      <c r="H33" s="781">
        <f>+'49-Utility5'!I29+'49a-Utility5'!I29+'50.1-Utility5'!M24+'49a.1-Utility5'!I29</f>
        <v>0</v>
      </c>
      <c r="J33" s="573"/>
    </row>
    <row r="34" spans="2:18" ht="21" customHeight="1">
      <c r="B34" s="495" t="s">
        <v>3214</v>
      </c>
      <c r="C34" s="495"/>
      <c r="D34" s="495"/>
      <c r="E34" s="495"/>
      <c r="F34" s="499"/>
      <c r="G34" s="450"/>
      <c r="H34" s="457"/>
    </row>
    <row r="35" spans="2:18" ht="21" customHeight="1">
      <c r="B35" s="495"/>
      <c r="C35" s="495"/>
      <c r="D35" s="495"/>
      <c r="E35" s="495"/>
      <c r="F35" s="495"/>
      <c r="G35" s="450"/>
      <c r="H35" s="457"/>
      <c r="L35"/>
      <c r="M35"/>
      <c r="N35"/>
      <c r="O35"/>
      <c r="P35"/>
      <c r="Q35"/>
      <c r="R35"/>
    </row>
    <row r="36" spans="2:18" ht="21" customHeight="1">
      <c r="B36" s="495"/>
      <c r="C36" s="495"/>
      <c r="D36" s="495"/>
      <c r="E36" s="495"/>
      <c r="F36" s="495"/>
      <c r="G36" s="450"/>
      <c r="H36" s="457"/>
      <c r="J36" s="573"/>
      <c r="L36"/>
      <c r="M36"/>
      <c r="N36"/>
      <c r="O36"/>
      <c r="P36"/>
      <c r="Q36"/>
      <c r="R36"/>
    </row>
    <row r="37" spans="2:18" ht="21" customHeight="1">
      <c r="B37" s="495"/>
      <c r="C37" s="495"/>
      <c r="D37" s="495"/>
      <c r="E37" s="495"/>
      <c r="F37" s="495"/>
      <c r="G37" s="450"/>
      <c r="H37" s="457"/>
      <c r="J37" s="573"/>
      <c r="L37"/>
      <c r="M37"/>
      <c r="N37"/>
      <c r="O37"/>
      <c r="P37"/>
      <c r="Q37"/>
      <c r="R37"/>
    </row>
    <row r="38" spans="2:18" ht="21" customHeight="1" thickBot="1">
      <c r="B38" s="495"/>
      <c r="C38" s="495"/>
      <c r="D38" s="495"/>
      <c r="E38" s="495"/>
      <c r="F38" s="495"/>
      <c r="G38" s="450"/>
      <c r="H38" s="481"/>
      <c r="L38"/>
      <c r="M38"/>
      <c r="N38"/>
      <c r="O38"/>
      <c r="P38"/>
      <c r="Q38"/>
      <c r="R38"/>
    </row>
    <row r="39" spans="2:18" ht="21" customHeight="1" thickTop="1">
      <c r="B39" s="248"/>
      <c r="C39" s="248" t="s">
        <v>3132</v>
      </c>
      <c r="D39" s="248"/>
      <c r="E39" s="248"/>
      <c r="F39" s="871"/>
      <c r="G39" s="872"/>
      <c r="H39" s="782">
        <f>SUM(H30:H38)</f>
        <v>0</v>
      </c>
      <c r="I39" s="267" t="s">
        <v>795</v>
      </c>
    </row>
    <row r="40" spans="2:18" ht="21" customHeight="1">
      <c r="B40" s="333" t="s">
        <v>3215</v>
      </c>
      <c r="C40" s="333"/>
      <c r="D40" s="333"/>
      <c r="E40" s="333"/>
      <c r="F40" s="333"/>
      <c r="G40" s="779"/>
      <c r="H40" s="772"/>
    </row>
    <row r="41" spans="2:18" ht="21" customHeight="1">
      <c r="B41" s="495"/>
      <c r="C41" s="495"/>
      <c r="D41" s="495"/>
      <c r="E41" s="495"/>
      <c r="F41" s="495"/>
      <c r="G41" s="450"/>
      <c r="H41" s="457"/>
    </row>
    <row r="42" spans="2:18" ht="21" customHeight="1">
      <c r="B42" s="248" t="s">
        <v>617</v>
      </c>
      <c r="C42" s="248"/>
      <c r="D42" s="248"/>
      <c r="E42" s="248"/>
      <c r="F42" s="248"/>
      <c r="G42" s="533"/>
      <c r="H42" s="780">
        <f>+'46-Utility5'!K27</f>
        <v>0</v>
      </c>
    </row>
    <row r="43" spans="2:18" ht="21" customHeight="1" thickBot="1">
      <c r="B43" s="248"/>
      <c r="C43" s="248"/>
      <c r="D43" s="248"/>
      <c r="E43" s="248"/>
      <c r="F43" s="248"/>
      <c r="G43" s="783"/>
      <c r="H43" s="784"/>
    </row>
    <row r="44" spans="2:18" ht="21" customHeight="1" thickBot="1">
      <c r="B44" s="248" t="s">
        <v>3216</v>
      </c>
      <c r="C44" s="248"/>
      <c r="D44" s="248"/>
      <c r="E44" s="248"/>
      <c r="F44" s="248"/>
      <c r="G44" s="785">
        <f>SUM(G12:G43)</f>
        <v>0</v>
      </c>
      <c r="H44" s="786">
        <f>SUM(H39:H43)</f>
        <v>0</v>
      </c>
      <c r="J44" s="301">
        <f>G44-H44</f>
        <v>0</v>
      </c>
    </row>
    <row r="45" spans="2:18" ht="13.8" thickTop="1">
      <c r="B45" s="1352" t="s">
        <v>98</v>
      </c>
      <c r="C45" s="1352"/>
      <c r="D45" s="1352"/>
      <c r="E45" s="1352"/>
      <c r="F45" s="1352"/>
      <c r="G45" s="1352"/>
      <c r="H45" s="1352"/>
    </row>
    <row r="46" spans="2:18">
      <c r="B46" s="302"/>
      <c r="C46" s="302"/>
      <c r="D46" s="302"/>
      <c r="E46" s="302"/>
      <c r="F46" s="302"/>
      <c r="G46" s="302"/>
      <c r="H46" s="302"/>
    </row>
    <row r="47" spans="2:18">
      <c r="B47" s="302"/>
      <c r="C47" s="302"/>
      <c r="D47" s="302"/>
      <c r="E47" s="302"/>
      <c r="F47" s="302"/>
      <c r="G47" s="302"/>
      <c r="H47" s="302"/>
    </row>
    <row r="48" spans="2:18">
      <c r="B48" s="302"/>
      <c r="C48" s="302"/>
      <c r="D48" s="302"/>
      <c r="E48" s="302"/>
      <c r="F48" s="302"/>
      <c r="G48" s="302"/>
      <c r="H48" s="302"/>
    </row>
    <row r="49" spans="2:8">
      <c r="B49" s="302"/>
      <c r="C49" s="302"/>
      <c r="D49" s="302"/>
      <c r="E49" s="302"/>
      <c r="F49" s="302"/>
      <c r="G49" s="302"/>
      <c r="H49" s="302"/>
    </row>
    <row r="50" spans="2:8" ht="13.8">
      <c r="B50" s="1353" t="s">
        <v>3130</v>
      </c>
      <c r="C50" s="1353"/>
      <c r="D50" s="1353"/>
      <c r="E50" s="1353"/>
      <c r="F50" s="1353"/>
      <c r="G50" s="1353"/>
      <c r="H50" s="1353"/>
    </row>
    <row r="54" spans="2:8">
      <c r="H54" s="301"/>
    </row>
    <row r="57" spans="2:8">
      <c r="H57" s="301">
        <f>+H44-G44</f>
        <v>0</v>
      </c>
    </row>
  </sheetData>
  <sheetProtection algorithmName="SHA-512" hashValue="okS1eNo+CONaZrydUCfddjwHJFISldR8qr6/pNU5G6nJV63rDTqE2CVf7y0uWMOFYYlLTHhsVYBvIXFaioLJrA==" saltValue="nUddsvSTUN9ctP01Wy/wNw=="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CE249-1957-40B4-9579-EC3873C64521}">
  <sheetPr codeName="Sheet248">
    <tabColor theme="7" tint="0.39997558519241921"/>
  </sheetPr>
  <dimension ref="B2:Q55"/>
  <sheetViews>
    <sheetView zoomScaleNormal="100" zoomScaleSheetLayoutView="80" workbookViewId="0">
      <selection activeCell="B8" sqref="B8:H8"/>
    </sheetView>
  </sheetViews>
  <sheetFormatPr defaultColWidth="8.88671875" defaultRowHeight="13.2"/>
  <cols>
    <col min="1" max="1" width="4.6640625" style="267" customWidth="1"/>
    <col min="2" max="2" width="4.88671875" style="267" customWidth="1"/>
    <col min="3" max="4" width="4.6640625" style="267" customWidth="1"/>
    <col min="5" max="5" width="34.33203125" style="267" customWidth="1"/>
    <col min="6" max="6" width="15.6640625" style="267" customWidth="1"/>
    <col min="7" max="8" width="16.6640625" style="267" customWidth="1"/>
    <col min="9" max="9" width="10.88671875" style="267" bestFit="1" customWidth="1"/>
    <col min="10" max="10" width="8.88671875" style="267"/>
    <col min="11" max="11" width="10.33203125" style="267" bestFit="1" customWidth="1"/>
    <col min="12" max="12" width="8.88671875" style="267"/>
    <col min="13" max="13" width="13.88671875" style="267" bestFit="1" customWidth="1"/>
    <col min="14" max="16384" width="8.88671875" style="267"/>
  </cols>
  <sheetData>
    <row r="2" spans="2:17">
      <c r="B2" s="1357" t="s">
        <v>35</v>
      </c>
      <c r="C2" s="1357"/>
      <c r="D2" s="1357"/>
      <c r="E2" s="1357"/>
      <c r="F2" s="1357"/>
      <c r="G2" s="1357"/>
      <c r="H2" s="1357"/>
    </row>
    <row r="3" spans="2:17">
      <c r="B3" s="1357" t="s">
        <v>449</v>
      </c>
      <c r="C3" s="1357"/>
      <c r="D3" s="1357"/>
      <c r="E3" s="1357"/>
      <c r="F3" s="1357"/>
      <c r="G3" s="1357"/>
      <c r="H3" s="1357"/>
    </row>
    <row r="5" spans="2:17" ht="22.8">
      <c r="B5" s="1358" t="s">
        <v>424</v>
      </c>
      <c r="C5" s="1358"/>
      <c r="D5" s="1358"/>
      <c r="E5" s="1358"/>
      <c r="F5" s="1358"/>
      <c r="G5" s="1358"/>
      <c r="H5" s="1358"/>
    </row>
    <row r="6" spans="2:17" ht="22.8">
      <c r="B6" s="1358" t="str">
        <f>"TRIAL  BALANCE - "&amp;UPPER('KEY INPUTS'!D58)&amp;"  UTILITY  FUND (cont'd)"</f>
        <v>TRIAL  BALANCE -   UTILITY  FUND (cont'd)</v>
      </c>
      <c r="C6" s="1358"/>
      <c r="D6" s="1358"/>
      <c r="E6" s="1358"/>
      <c r="F6" s="1358"/>
      <c r="G6" s="1358"/>
      <c r="H6" s="1358"/>
    </row>
    <row r="7" spans="2:17" ht="15.6">
      <c r="B7" s="1359" t="str">
        <f>IF('KEY INPUTS'!C42 = "State Fiscal Year", 'KEY INPUTS'!F45,'KEY INPUTS'!D45)</f>
        <v>AS  AT  DECEMBER  31, 2024</v>
      </c>
      <c r="C7" s="1360"/>
      <c r="D7" s="1360"/>
      <c r="E7" s="1360"/>
      <c r="F7" s="1360"/>
      <c r="G7" s="1360"/>
      <c r="H7" s="1360"/>
    </row>
    <row r="8" spans="2:17" ht="15.6">
      <c r="B8" s="1354" t="s">
        <v>450</v>
      </c>
      <c r="C8" s="1354"/>
      <c r="D8" s="1354"/>
      <c r="E8" s="1354"/>
      <c r="F8" s="1354"/>
      <c r="G8" s="1354"/>
      <c r="H8" s="1354"/>
    </row>
    <row r="9" spans="2:17">
      <c r="B9" s="1355" t="s">
        <v>70</v>
      </c>
      <c r="C9" s="1355"/>
      <c r="D9" s="1355"/>
      <c r="E9" s="1355"/>
      <c r="F9" s="1355"/>
      <c r="G9" s="1355"/>
      <c r="H9" s="1355"/>
    </row>
    <row r="10" spans="2:17" ht="15" customHeight="1" thickBot="1">
      <c r="B10" s="1356" t="s">
        <v>71</v>
      </c>
      <c r="C10" s="1356"/>
      <c r="D10" s="1356"/>
      <c r="E10" s="1356"/>
      <c r="F10" s="1356"/>
      <c r="G10" s="1356"/>
      <c r="H10" s="1356"/>
    </row>
    <row r="11" spans="2:17" ht="36" customHeight="1" thickTop="1" thickBot="1">
      <c r="B11" s="1350" t="s">
        <v>95</v>
      </c>
      <c r="C11" s="1350"/>
      <c r="D11" s="1350"/>
      <c r="E11" s="1350"/>
      <c r="F11" s="1351"/>
      <c r="G11" s="304" t="s">
        <v>96</v>
      </c>
      <c r="H11" s="308" t="s">
        <v>97</v>
      </c>
    </row>
    <row r="12" spans="2:17" ht="21" customHeight="1" thickTop="1">
      <c r="G12" s="775"/>
      <c r="H12" s="776"/>
    </row>
    <row r="13" spans="2:17" ht="21" customHeight="1">
      <c r="B13" s="307" t="s">
        <v>642</v>
      </c>
      <c r="C13" s="248"/>
      <c r="D13" s="248"/>
      <c r="E13" s="248"/>
      <c r="F13" s="248"/>
      <c r="G13" s="533"/>
      <c r="H13" s="780"/>
      <c r="K13"/>
      <c r="L13"/>
      <c r="M13"/>
      <c r="N13"/>
      <c r="O13"/>
      <c r="P13"/>
      <c r="Q13"/>
    </row>
    <row r="14" spans="2:17" ht="21" customHeight="1">
      <c r="B14" s="248"/>
      <c r="C14" s="248"/>
      <c r="D14" s="248"/>
      <c r="E14" s="248"/>
      <c r="F14" s="248"/>
      <c r="G14" s="533"/>
      <c r="H14" s="780"/>
      <c r="K14"/>
      <c r="L14"/>
      <c r="M14"/>
      <c r="N14"/>
      <c r="O14"/>
      <c r="P14"/>
      <c r="Q14"/>
    </row>
    <row r="15" spans="2:17" ht="21" customHeight="1">
      <c r="B15" s="267" t="s">
        <v>192</v>
      </c>
      <c r="C15" s="248"/>
      <c r="D15" s="248"/>
      <c r="E15" s="248"/>
      <c r="F15" s="248"/>
      <c r="G15" s="289"/>
      <c r="H15" s="885" t="s">
        <v>627</v>
      </c>
      <c r="K15" s="294"/>
      <c r="L15"/>
      <c r="M15"/>
      <c r="N15"/>
      <c r="O15"/>
      <c r="P15"/>
      <c r="Q15"/>
    </row>
    <row r="16" spans="2:17" ht="21" customHeight="1">
      <c r="B16" s="248" t="s">
        <v>193</v>
      </c>
      <c r="C16" s="248"/>
      <c r="D16" s="248"/>
      <c r="E16" s="248"/>
      <c r="F16" s="248"/>
      <c r="G16" s="804" t="s">
        <v>627</v>
      </c>
      <c r="H16" s="668">
        <f>+G15</f>
        <v>0</v>
      </c>
      <c r="K16"/>
      <c r="L16"/>
      <c r="M16"/>
      <c r="N16"/>
      <c r="O16"/>
      <c r="P16"/>
      <c r="Q16"/>
    </row>
    <row r="17" spans="2:17" ht="21" customHeight="1">
      <c r="B17" s="248"/>
      <c r="C17" s="248"/>
      <c r="D17" s="248"/>
      <c r="E17" s="248"/>
      <c r="F17" s="248"/>
      <c r="G17" s="663"/>
      <c r="H17" s="668"/>
      <c r="K17"/>
      <c r="L17"/>
      <c r="M17"/>
      <c r="N17"/>
      <c r="O17"/>
      <c r="P17"/>
      <c r="Q17"/>
    </row>
    <row r="18" spans="2:17" ht="21" customHeight="1">
      <c r="B18" s="248"/>
      <c r="C18" s="248" t="s">
        <v>351</v>
      </c>
      <c r="D18" s="248"/>
      <c r="E18" s="248"/>
      <c r="F18" s="248"/>
      <c r="G18" s="289"/>
      <c r="H18" s="419"/>
      <c r="K18"/>
      <c r="L18"/>
      <c r="M18"/>
      <c r="N18"/>
      <c r="O18"/>
      <c r="P18"/>
      <c r="Q18"/>
    </row>
    <row r="19" spans="2:17" ht="21" customHeight="1">
      <c r="B19" s="248"/>
      <c r="C19" s="495"/>
      <c r="D19" s="495"/>
      <c r="E19" s="495"/>
      <c r="F19" s="495"/>
      <c r="G19" s="289"/>
      <c r="H19" s="419"/>
      <c r="K19"/>
      <c r="L19"/>
      <c r="M19"/>
      <c r="N19"/>
      <c r="O19"/>
      <c r="P19"/>
      <c r="Q19"/>
    </row>
    <row r="20" spans="2:17" ht="21" customHeight="1">
      <c r="B20" s="248"/>
      <c r="C20" s="248" t="s">
        <v>888</v>
      </c>
      <c r="D20" s="248"/>
      <c r="E20" s="248"/>
      <c r="F20" s="248"/>
      <c r="G20" s="289"/>
      <c r="H20" s="419"/>
      <c r="K20"/>
      <c r="L20"/>
      <c r="M20"/>
      <c r="N20"/>
      <c r="O20"/>
      <c r="P20"/>
      <c r="Q20"/>
    </row>
    <row r="21" spans="2:17" ht="21" customHeight="1">
      <c r="B21" s="248"/>
      <c r="C21" s="248" t="s">
        <v>643</v>
      </c>
      <c r="D21" s="248"/>
      <c r="E21" s="248"/>
      <c r="F21" s="248"/>
      <c r="G21" s="663"/>
      <c r="H21" s="664"/>
      <c r="K21"/>
      <c r="L21"/>
      <c r="M21"/>
      <c r="N21"/>
      <c r="O21"/>
      <c r="P21"/>
      <c r="Q21"/>
    </row>
    <row r="22" spans="2:17" ht="21" customHeight="1">
      <c r="B22" s="248"/>
      <c r="C22" s="248"/>
      <c r="D22" s="248" t="s">
        <v>87</v>
      </c>
      <c r="E22" s="248"/>
      <c r="F22" s="248"/>
      <c r="G22" s="289"/>
      <c r="H22" s="419"/>
      <c r="K22"/>
      <c r="L22"/>
      <c r="M22"/>
      <c r="N22"/>
      <c r="O22"/>
      <c r="P22"/>
      <c r="Q22"/>
    </row>
    <row r="23" spans="2:17" ht="21" customHeight="1">
      <c r="B23" s="248"/>
      <c r="C23" s="248"/>
      <c r="D23" s="248" t="s">
        <v>671</v>
      </c>
      <c r="E23" s="248"/>
      <c r="F23" s="248"/>
      <c r="G23" s="289"/>
      <c r="H23" s="419"/>
      <c r="K23"/>
      <c r="L23"/>
      <c r="M23"/>
      <c r="N23"/>
      <c r="O23"/>
      <c r="P23"/>
      <c r="Q23"/>
    </row>
    <row r="24" spans="2:17" ht="21" customHeight="1">
      <c r="B24" s="248"/>
      <c r="C24" s="495"/>
      <c r="D24" s="495" t="s">
        <v>3131</v>
      </c>
      <c r="E24" s="495"/>
      <c r="F24" s="495"/>
      <c r="G24" s="289"/>
      <c r="H24" s="438"/>
      <c r="K24"/>
      <c r="L24"/>
      <c r="M24"/>
      <c r="N24"/>
      <c r="O24"/>
      <c r="P24"/>
      <c r="Q24"/>
    </row>
    <row r="25" spans="2:17" ht="21" customHeight="1">
      <c r="B25" s="248"/>
      <c r="C25" s="495"/>
      <c r="D25" s="495" t="s">
        <v>3131</v>
      </c>
      <c r="E25" s="495"/>
      <c r="F25" s="495"/>
      <c r="G25" s="289"/>
      <c r="H25" s="438" t="s">
        <v>3131</v>
      </c>
    </row>
    <row r="26" spans="2:17" ht="21" customHeight="1">
      <c r="B26" s="248"/>
      <c r="C26" s="496"/>
      <c r="D26" s="495"/>
      <c r="E26" s="495"/>
      <c r="F26" s="495"/>
      <c r="G26" s="289"/>
      <c r="H26" s="498"/>
    </row>
    <row r="27" spans="2:17" ht="21" customHeight="1">
      <c r="B27" s="248"/>
      <c r="C27" s="495" t="s">
        <v>3131</v>
      </c>
      <c r="D27" s="495"/>
      <c r="E27" s="495"/>
      <c r="F27" s="495"/>
      <c r="G27" s="289"/>
      <c r="H27" s="438" t="s">
        <v>3131</v>
      </c>
    </row>
    <row r="28" spans="2:17" ht="21" customHeight="1">
      <c r="B28" s="248"/>
      <c r="C28" s="495"/>
      <c r="D28" s="495"/>
      <c r="E28" s="495"/>
      <c r="F28" s="495"/>
      <c r="G28" s="289"/>
      <c r="H28" s="438"/>
    </row>
    <row r="29" spans="2:17" ht="21" customHeight="1">
      <c r="B29" s="248"/>
      <c r="C29" s="495"/>
      <c r="D29" s="495" t="s">
        <v>3131</v>
      </c>
      <c r="E29" s="495"/>
      <c r="F29" s="495"/>
      <c r="G29" s="289"/>
      <c r="H29" s="438"/>
      <c r="K29"/>
      <c r="L29"/>
      <c r="M29"/>
      <c r="N29"/>
      <c r="O29"/>
      <c r="P29"/>
      <c r="Q29"/>
    </row>
    <row r="30" spans="2:17" ht="21" customHeight="1">
      <c r="B30" s="248"/>
      <c r="C30" s="495"/>
      <c r="D30" s="495" t="s">
        <v>3131</v>
      </c>
      <c r="E30" s="495"/>
      <c r="F30" s="495"/>
      <c r="G30" s="289"/>
      <c r="H30" s="438"/>
      <c r="K30"/>
      <c r="L30"/>
      <c r="M30"/>
      <c r="N30"/>
      <c r="O30"/>
      <c r="P30"/>
      <c r="Q30"/>
    </row>
    <row r="31" spans="2:17" ht="21" customHeight="1">
      <c r="B31" s="248"/>
      <c r="C31" s="495"/>
      <c r="D31" s="495" t="s">
        <v>3131</v>
      </c>
      <c r="E31" s="495"/>
      <c r="F31" s="495"/>
      <c r="G31" s="289"/>
      <c r="H31" s="438" t="s">
        <v>3131</v>
      </c>
    </row>
    <row r="32" spans="2:17" ht="21" customHeight="1">
      <c r="B32" s="248"/>
      <c r="C32" s="496"/>
      <c r="D32" s="495"/>
      <c r="E32" s="495"/>
      <c r="F32" s="495"/>
      <c r="G32" s="289"/>
      <c r="H32" s="498"/>
    </row>
    <row r="33" spans="2:17" ht="21" customHeight="1">
      <c r="B33" s="248"/>
      <c r="C33" s="495" t="s">
        <v>3131</v>
      </c>
      <c r="D33" s="495"/>
      <c r="E33" s="495"/>
      <c r="F33" s="495"/>
      <c r="G33" s="289"/>
      <c r="H33" s="438" t="s">
        <v>3131</v>
      </c>
    </row>
    <row r="34" spans="2:17" ht="21" customHeight="1">
      <c r="B34" s="248"/>
      <c r="C34" s="495"/>
      <c r="D34" s="495"/>
      <c r="E34" s="495"/>
      <c r="F34" s="495"/>
      <c r="G34" s="289"/>
      <c r="H34" s="438"/>
    </row>
    <row r="35" spans="2:17" ht="21" customHeight="1">
      <c r="B35" s="248"/>
      <c r="C35" s="495"/>
      <c r="D35" s="495" t="s">
        <v>3131</v>
      </c>
      <c r="E35" s="495"/>
      <c r="F35" s="495"/>
      <c r="G35" s="289"/>
      <c r="H35" s="438"/>
      <c r="K35"/>
      <c r="L35"/>
      <c r="M35"/>
      <c r="N35"/>
      <c r="O35"/>
      <c r="P35"/>
      <c r="Q35"/>
    </row>
    <row r="36" spans="2:17" ht="21" customHeight="1">
      <c r="B36" s="248"/>
      <c r="C36" s="495"/>
      <c r="D36" s="495" t="s">
        <v>3131</v>
      </c>
      <c r="E36" s="495"/>
      <c r="F36" s="495"/>
      <c r="G36" s="289"/>
      <c r="H36" s="438" t="s">
        <v>3131</v>
      </c>
    </row>
    <row r="37" spans="2:17" ht="21" customHeight="1">
      <c r="B37" s="248"/>
      <c r="C37" s="496"/>
      <c r="D37" s="495"/>
      <c r="E37" s="495"/>
      <c r="F37" s="495"/>
      <c r="G37" s="289"/>
      <c r="H37" s="498"/>
    </row>
    <row r="38" spans="2:17" ht="21" customHeight="1">
      <c r="B38" s="248"/>
      <c r="C38" s="495" t="s">
        <v>3131</v>
      </c>
      <c r="D38" s="495"/>
      <c r="E38" s="495"/>
      <c r="F38" s="495"/>
      <c r="G38" s="289"/>
      <c r="H38" s="438" t="s">
        <v>3131</v>
      </c>
    </row>
    <row r="39" spans="2:17" ht="21" customHeight="1">
      <c r="B39" s="248"/>
      <c r="C39" s="495"/>
      <c r="D39" s="495"/>
      <c r="E39" s="495"/>
      <c r="F39" s="495"/>
      <c r="G39" s="289"/>
      <c r="H39" s="438"/>
    </row>
    <row r="40" spans="2:17" ht="21" customHeight="1">
      <c r="B40" s="248"/>
      <c r="C40" s="495"/>
      <c r="D40" s="495"/>
      <c r="E40" s="495"/>
      <c r="F40" s="495"/>
      <c r="G40" s="289"/>
      <c r="H40" s="438"/>
    </row>
    <row r="41" spans="2:17" ht="21" customHeight="1">
      <c r="B41" s="248"/>
      <c r="C41" s="495" t="s">
        <v>3131</v>
      </c>
      <c r="D41" s="495"/>
      <c r="E41" s="495"/>
      <c r="F41" s="495"/>
      <c r="G41" s="289"/>
      <c r="H41" s="438" t="s">
        <v>3131</v>
      </c>
    </row>
    <row r="42" spans="2:17" ht="21" customHeight="1">
      <c r="B42" s="248"/>
      <c r="C42" s="495" t="s">
        <v>3131</v>
      </c>
      <c r="D42" s="495"/>
      <c r="E42" s="495"/>
      <c r="F42" s="495"/>
      <c r="G42" s="289"/>
      <c r="H42" s="438" t="s">
        <v>3131</v>
      </c>
    </row>
    <row r="43" spans="2:17" ht="21" customHeight="1" thickBot="1">
      <c r="B43" s="248"/>
      <c r="C43" s="248"/>
      <c r="D43" s="248"/>
      <c r="E43" s="248"/>
      <c r="F43" s="248"/>
      <c r="G43" s="881"/>
      <c r="H43" s="882"/>
      <c r="I43" s="301"/>
      <c r="M43" s="301"/>
    </row>
    <row r="44" spans="2:17" ht="21" customHeight="1" thickBot="1">
      <c r="B44" s="248"/>
      <c r="C44" s="248" t="s">
        <v>3262</v>
      </c>
      <c r="D44" s="248"/>
      <c r="E44" s="248"/>
      <c r="F44" s="248"/>
      <c r="G44" s="883">
        <f>SUM(G15:G42)</f>
        <v>0</v>
      </c>
      <c r="H44" s="884">
        <f>SUM(H15:H43)</f>
        <v>0</v>
      </c>
      <c r="I44" s="301"/>
      <c r="K44" s="301"/>
    </row>
    <row r="45" spans="2:17" ht="13.8" thickTop="1">
      <c r="B45" s="1361" t="s">
        <v>98</v>
      </c>
      <c r="C45" s="1361"/>
      <c r="D45" s="1361"/>
      <c r="E45" s="1361"/>
      <c r="F45" s="1361"/>
      <c r="G45" s="1352"/>
      <c r="H45" s="1352"/>
    </row>
    <row r="46" spans="2:17">
      <c r="B46" s="302"/>
      <c r="C46" s="302"/>
      <c r="D46" s="302"/>
      <c r="E46" s="302"/>
      <c r="F46" s="302"/>
      <c r="G46" s="302"/>
      <c r="H46" s="302"/>
    </row>
    <row r="47" spans="2:17">
      <c r="B47" s="302"/>
      <c r="C47" s="302"/>
      <c r="D47" s="302"/>
      <c r="E47" s="302"/>
      <c r="F47" s="302"/>
      <c r="G47" s="302"/>
      <c r="H47" s="302"/>
    </row>
    <row r="48" spans="2:17">
      <c r="B48" s="302"/>
      <c r="C48" s="302"/>
      <c r="D48" s="302"/>
      <c r="E48" s="302"/>
      <c r="F48" s="302"/>
      <c r="G48" s="302"/>
      <c r="H48" s="302"/>
    </row>
    <row r="49" spans="2:8">
      <c r="B49" s="302"/>
      <c r="C49" s="302"/>
      <c r="D49" s="302"/>
      <c r="E49" s="302"/>
      <c r="F49" s="302"/>
      <c r="G49" s="302"/>
      <c r="H49" s="302"/>
    </row>
    <row r="50" spans="2:8" ht="13.8">
      <c r="B50" s="1353" t="s">
        <v>3136</v>
      </c>
      <c r="C50" s="1353"/>
      <c r="D50" s="1353"/>
      <c r="E50" s="1353"/>
      <c r="F50" s="1353"/>
      <c r="G50" s="1353"/>
      <c r="H50" s="1353"/>
    </row>
    <row r="55" spans="2:8">
      <c r="H55" s="301"/>
    </row>
  </sheetData>
  <sheetProtection algorithmName="SHA-512" hashValue="MhcPwzd6O96WV5ZVFPFI8NlzWSYk/5+8KBI7+MtpRZnTLXP2h4435yJNgzO+A7vYYcBFIS6X1m8kVMRuQb6lug==" saltValue="lrme0d4q2drWxAPmlNqIww=="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BD224-546C-4E42-824E-1F477036FBAD}">
  <sheetPr codeName="Sheet249">
    <tabColor theme="7" tint="0.39997558519241921"/>
  </sheetPr>
  <dimension ref="B2:Q55"/>
  <sheetViews>
    <sheetView zoomScaleNormal="100" zoomScaleSheetLayoutView="80" workbookViewId="0">
      <selection activeCell="B8" sqref="B8:H8"/>
    </sheetView>
  </sheetViews>
  <sheetFormatPr defaultColWidth="8.88671875" defaultRowHeight="13.2"/>
  <cols>
    <col min="1" max="1" width="4.6640625" style="267" customWidth="1"/>
    <col min="2" max="2" width="4.88671875" style="267" customWidth="1"/>
    <col min="3" max="4" width="4.6640625" style="267" customWidth="1"/>
    <col min="5" max="5" width="34.33203125" style="267" customWidth="1"/>
    <col min="6" max="6" width="15.6640625" style="267" customWidth="1"/>
    <col min="7" max="8" width="16.6640625" style="267" customWidth="1"/>
    <col min="9" max="9" width="10.88671875" style="267" bestFit="1" customWidth="1"/>
    <col min="10" max="10" width="8.88671875" style="267"/>
    <col min="11" max="11" width="10.33203125" style="267" bestFit="1" customWidth="1"/>
    <col min="12" max="12" width="8.88671875" style="267"/>
    <col min="13" max="13" width="13.88671875" style="267" bestFit="1" customWidth="1"/>
    <col min="14" max="16384" width="8.88671875" style="267"/>
  </cols>
  <sheetData>
    <row r="2" spans="2:17">
      <c r="B2" s="1357" t="s">
        <v>35</v>
      </c>
      <c r="C2" s="1357"/>
      <c r="D2" s="1357"/>
      <c r="E2" s="1357"/>
      <c r="F2" s="1357"/>
      <c r="G2" s="1357"/>
      <c r="H2" s="1357"/>
    </row>
    <row r="3" spans="2:17">
      <c r="B3" s="1357" t="s">
        <v>449</v>
      </c>
      <c r="C3" s="1357"/>
      <c r="D3" s="1357"/>
      <c r="E3" s="1357"/>
      <c r="F3" s="1357"/>
      <c r="G3" s="1357"/>
      <c r="H3" s="1357"/>
    </row>
    <row r="5" spans="2:17" ht="22.8">
      <c r="B5" s="1358" t="s">
        <v>424</v>
      </c>
      <c r="C5" s="1358"/>
      <c r="D5" s="1358"/>
      <c r="E5" s="1358"/>
      <c r="F5" s="1358"/>
      <c r="G5" s="1358"/>
      <c r="H5" s="1358"/>
    </row>
    <row r="6" spans="2:17" ht="22.8">
      <c r="B6" s="1358" t="str">
        <f>"TRIAL  BALANCE - "&amp;UPPER('KEY INPUTS'!D58)&amp;"  UTILITY  FUND (cont'd)"</f>
        <v>TRIAL  BALANCE -   UTILITY  FUND (cont'd)</v>
      </c>
      <c r="C6" s="1358"/>
      <c r="D6" s="1358"/>
      <c r="E6" s="1358"/>
      <c r="F6" s="1358"/>
      <c r="G6" s="1358"/>
      <c r="H6" s="1358"/>
    </row>
    <row r="7" spans="2:17" ht="15.6">
      <c r="B7" s="1359" t="str">
        <f>IF('KEY INPUTS'!C42 = "State Fiscal Year", 'KEY INPUTS'!F45,'KEY INPUTS'!D45)</f>
        <v>AS  AT  DECEMBER  31, 2024</v>
      </c>
      <c r="C7" s="1360"/>
      <c r="D7" s="1360"/>
      <c r="E7" s="1360"/>
      <c r="F7" s="1360"/>
      <c r="G7" s="1360"/>
      <c r="H7" s="1360"/>
    </row>
    <row r="8" spans="2:17" ht="15.6">
      <c r="B8" s="1354" t="s">
        <v>450</v>
      </c>
      <c r="C8" s="1354"/>
      <c r="D8" s="1354"/>
      <c r="E8" s="1354"/>
      <c r="F8" s="1354"/>
      <c r="G8" s="1354"/>
      <c r="H8" s="1354"/>
    </row>
    <row r="9" spans="2:17">
      <c r="B9" s="1355" t="s">
        <v>70</v>
      </c>
      <c r="C9" s="1355"/>
      <c r="D9" s="1355"/>
      <c r="E9" s="1355"/>
      <c r="F9" s="1355"/>
      <c r="G9" s="1355"/>
      <c r="H9" s="1355"/>
    </row>
    <row r="10" spans="2:17" ht="15" customHeight="1" thickBot="1">
      <c r="B10" s="1356" t="s">
        <v>71</v>
      </c>
      <c r="C10" s="1356"/>
      <c r="D10" s="1356"/>
      <c r="E10" s="1356"/>
      <c r="F10" s="1356"/>
      <c r="G10" s="1356"/>
      <c r="H10" s="1356"/>
    </row>
    <row r="11" spans="2:17" ht="36" customHeight="1" thickTop="1" thickBot="1">
      <c r="B11" s="1350" t="s">
        <v>95</v>
      </c>
      <c r="C11" s="1350"/>
      <c r="D11" s="1350"/>
      <c r="E11" s="1350"/>
      <c r="F11" s="1351"/>
      <c r="G11" s="304" t="s">
        <v>96</v>
      </c>
      <c r="H11" s="308" t="s">
        <v>97</v>
      </c>
    </row>
    <row r="12" spans="2:17" ht="21" customHeight="1" thickTop="1">
      <c r="B12" s="248"/>
      <c r="C12" s="248" t="s">
        <v>3263</v>
      </c>
      <c r="D12" s="248"/>
      <c r="E12" s="248"/>
      <c r="F12" s="248"/>
      <c r="G12" s="663">
        <f>'41a-Utility5'!G44</f>
        <v>0</v>
      </c>
      <c r="H12" s="668">
        <f>'41a-Utility5'!H44</f>
        <v>0</v>
      </c>
    </row>
    <row r="13" spans="2:17" ht="21" customHeight="1">
      <c r="C13" s="496"/>
      <c r="D13" s="496"/>
      <c r="E13" s="496"/>
      <c r="F13" s="496"/>
      <c r="G13" s="450"/>
      <c r="H13" s="498"/>
    </row>
    <row r="14" spans="2:17" ht="21" customHeight="1">
      <c r="B14" s="307"/>
      <c r="C14" s="495"/>
      <c r="D14" s="495"/>
      <c r="E14" s="495"/>
      <c r="F14" s="495"/>
      <c r="G14" s="450"/>
      <c r="H14" s="457"/>
      <c r="K14"/>
      <c r="L14"/>
      <c r="M14"/>
      <c r="N14"/>
      <c r="O14"/>
      <c r="P14"/>
      <c r="Q14"/>
    </row>
    <row r="15" spans="2:17" ht="21" customHeight="1">
      <c r="B15" s="248"/>
      <c r="C15" s="495"/>
      <c r="D15" s="495"/>
      <c r="E15" s="495"/>
      <c r="F15" s="495"/>
      <c r="G15" s="450"/>
      <c r="H15" s="457"/>
      <c r="K15"/>
      <c r="L15"/>
      <c r="M15"/>
      <c r="N15"/>
      <c r="O15"/>
      <c r="P15"/>
      <c r="Q15"/>
    </row>
    <row r="16" spans="2:17" ht="21" customHeight="1">
      <c r="B16" s="248"/>
      <c r="C16" s="495"/>
      <c r="D16" s="495"/>
      <c r="E16" s="495"/>
      <c r="F16" s="495"/>
      <c r="G16" s="289"/>
      <c r="H16" s="438"/>
      <c r="K16"/>
      <c r="L16"/>
      <c r="M16"/>
      <c r="N16"/>
      <c r="O16"/>
      <c r="P16"/>
      <c r="Q16"/>
    </row>
    <row r="17" spans="2:17" ht="21" customHeight="1">
      <c r="B17" s="248"/>
      <c r="C17" s="248" t="s">
        <v>3139</v>
      </c>
      <c r="D17" s="248"/>
      <c r="E17" s="248"/>
      <c r="F17" s="248"/>
      <c r="G17" s="663"/>
      <c r="H17" s="668">
        <f>+'49-Utility5'!G22</f>
        <v>0</v>
      </c>
      <c r="K17"/>
      <c r="L17"/>
      <c r="M17"/>
      <c r="N17"/>
      <c r="O17"/>
      <c r="P17"/>
      <c r="Q17"/>
    </row>
    <row r="18" spans="2:17" ht="21" customHeight="1">
      <c r="B18" s="248"/>
      <c r="C18" s="248" t="s">
        <v>3383</v>
      </c>
      <c r="D18" s="248"/>
      <c r="E18" s="248"/>
      <c r="F18" s="248"/>
      <c r="G18" s="663"/>
      <c r="H18" s="668">
        <f>'49a-Utility5'!G11+'49a-Utility5'!G22+'49a.1-Utility5'!G11+'49a.1-Utility5'!G22</f>
        <v>0</v>
      </c>
    </row>
    <row r="19" spans="2:17" ht="21" customHeight="1">
      <c r="B19" s="248"/>
      <c r="C19" s="248" t="s">
        <v>3392</v>
      </c>
      <c r="D19" s="248"/>
      <c r="E19" s="248"/>
      <c r="F19" s="248"/>
      <c r="G19" s="663"/>
      <c r="H19" s="668">
        <f>+'51a-Utility5'!G23</f>
        <v>0</v>
      </c>
      <c r="K19"/>
      <c r="L19"/>
      <c r="M19"/>
      <c r="N19"/>
      <c r="O19"/>
      <c r="P19"/>
      <c r="Q19"/>
    </row>
    <row r="20" spans="2:17" ht="21" customHeight="1">
      <c r="B20" s="248"/>
      <c r="C20" s="248" t="s">
        <v>3138</v>
      </c>
      <c r="D20" s="248"/>
      <c r="E20" s="248"/>
      <c r="F20" s="248"/>
      <c r="G20" s="663"/>
      <c r="H20" s="668">
        <f>+'50.1-Utility5'!G18</f>
        <v>0</v>
      </c>
      <c r="K20"/>
      <c r="L20"/>
      <c r="M20"/>
      <c r="N20"/>
      <c r="O20"/>
      <c r="P20"/>
      <c r="Q20"/>
    </row>
    <row r="21" spans="2:17" ht="21" customHeight="1">
      <c r="B21" s="248"/>
      <c r="C21" s="248" t="s">
        <v>802</v>
      </c>
      <c r="D21" s="248"/>
      <c r="E21" s="248"/>
      <c r="F21" s="248"/>
      <c r="G21" s="663"/>
      <c r="H21" s="668" t="s">
        <v>3131</v>
      </c>
      <c r="K21"/>
      <c r="L21"/>
      <c r="M21"/>
      <c r="N21"/>
      <c r="O21"/>
      <c r="P21"/>
      <c r="Q21"/>
    </row>
    <row r="22" spans="2:17" ht="21" customHeight="1">
      <c r="B22" s="248"/>
      <c r="C22" s="248"/>
      <c r="D22" s="248" t="s">
        <v>799</v>
      </c>
      <c r="E22" s="248"/>
      <c r="F22" s="248"/>
      <c r="G22" s="663"/>
      <c r="H22" s="668">
        <f>+'52-Utility5'!K27</f>
        <v>0</v>
      </c>
      <c r="J22" s="301"/>
      <c r="K22"/>
      <c r="L22"/>
      <c r="M22"/>
      <c r="N22"/>
      <c r="O22"/>
      <c r="P22"/>
      <c r="Q22"/>
    </row>
    <row r="23" spans="2:17" ht="21" customHeight="1">
      <c r="B23" s="248"/>
      <c r="C23" s="248"/>
      <c r="D23" s="248" t="s">
        <v>800</v>
      </c>
      <c r="E23" s="248"/>
      <c r="F23" s="248"/>
      <c r="G23" s="663"/>
      <c r="H23" s="668">
        <f>+'52-Utility5'!L27</f>
        <v>0</v>
      </c>
      <c r="J23" s="301"/>
      <c r="K23"/>
      <c r="L23"/>
      <c r="M23"/>
      <c r="N23"/>
      <c r="O23"/>
      <c r="P23"/>
      <c r="Q23"/>
    </row>
    <row r="24" spans="2:17" ht="21" customHeight="1">
      <c r="B24" s="248"/>
      <c r="C24" s="495" t="s">
        <v>3137</v>
      </c>
      <c r="D24" s="495"/>
      <c r="E24" s="495"/>
      <c r="F24" s="495"/>
      <c r="G24" s="289"/>
      <c r="H24" s="419"/>
    </row>
    <row r="25" spans="2:17" ht="21" customHeight="1">
      <c r="B25" s="248"/>
      <c r="C25" s="495" t="s">
        <v>674</v>
      </c>
      <c r="D25" s="495"/>
      <c r="E25" s="495"/>
      <c r="F25" s="495"/>
      <c r="G25" s="289"/>
      <c r="H25" s="419"/>
    </row>
    <row r="26" spans="2:17" ht="21" customHeight="1">
      <c r="B26" s="248"/>
      <c r="C26" s="495" t="str">
        <f>"DUE TO "&amp;UPPER('KEY INPUTS'!D54)&amp;" OPERATING"</f>
        <v>DUE TO WATER OPERATING</v>
      </c>
      <c r="D26" s="495"/>
      <c r="E26" s="495"/>
      <c r="F26" s="495"/>
      <c r="G26" s="289"/>
      <c r="H26" s="419"/>
    </row>
    <row r="27" spans="2:17" ht="21" customHeight="1">
      <c r="B27" s="248"/>
      <c r="C27" s="495" t="s">
        <v>673</v>
      </c>
      <c r="D27" s="495"/>
      <c r="E27" s="495"/>
      <c r="F27" s="495"/>
      <c r="G27" s="289"/>
      <c r="H27" s="419"/>
    </row>
    <row r="28" spans="2:17" ht="21" customHeight="1">
      <c r="B28" s="248"/>
      <c r="C28" s="495" t="s">
        <v>672</v>
      </c>
      <c r="D28" s="495"/>
      <c r="E28" s="495"/>
      <c r="F28" s="495"/>
      <c r="G28" s="289"/>
      <c r="H28" s="419"/>
    </row>
    <row r="29" spans="2:17" ht="21" customHeight="1">
      <c r="B29" s="248"/>
      <c r="C29" s="495" t="s">
        <v>287</v>
      </c>
      <c r="D29" s="495"/>
      <c r="E29" s="495"/>
      <c r="F29" s="495"/>
      <c r="G29" s="289"/>
      <c r="H29" s="419"/>
    </row>
    <row r="30" spans="2:17" ht="21" customHeight="1">
      <c r="B30" s="248"/>
      <c r="C30" s="495"/>
      <c r="D30" s="495"/>
      <c r="E30" s="495"/>
      <c r="F30" s="495"/>
      <c r="G30" s="289"/>
      <c r="H30" s="438" t="s">
        <v>3131</v>
      </c>
    </row>
    <row r="31" spans="2:17" ht="21" customHeight="1">
      <c r="B31" s="248"/>
      <c r="C31" s="495"/>
      <c r="D31" s="495"/>
      <c r="E31" s="495"/>
      <c r="F31" s="495"/>
      <c r="G31" s="289"/>
      <c r="H31" s="438" t="s">
        <v>3131</v>
      </c>
    </row>
    <row r="32" spans="2:17" ht="21" customHeight="1">
      <c r="B32" s="248"/>
      <c r="C32" s="495"/>
      <c r="D32" s="495"/>
      <c r="E32" s="495"/>
      <c r="F32" s="495"/>
      <c r="G32" s="289"/>
      <c r="H32" s="498"/>
    </row>
    <row r="33" spans="2:13" ht="21" customHeight="1">
      <c r="B33" s="248"/>
      <c r="C33" s="495"/>
      <c r="D33" s="495"/>
      <c r="E33" s="495"/>
      <c r="F33" s="495"/>
      <c r="G33" s="289"/>
      <c r="H33" s="438" t="s">
        <v>3131</v>
      </c>
    </row>
    <row r="34" spans="2:13" ht="21" customHeight="1">
      <c r="B34" s="248"/>
      <c r="C34" s="495"/>
      <c r="D34" s="495"/>
      <c r="E34" s="495"/>
      <c r="F34" s="495"/>
      <c r="G34" s="289"/>
      <c r="H34" s="438"/>
    </row>
    <row r="35" spans="2:13" ht="21" customHeight="1">
      <c r="B35" s="248"/>
      <c r="C35" s="495"/>
      <c r="D35" s="495"/>
      <c r="E35" s="495"/>
      <c r="F35" s="495"/>
      <c r="G35" s="289"/>
      <c r="H35" s="438"/>
    </row>
    <row r="36" spans="2:13" ht="21" customHeight="1">
      <c r="B36" s="248"/>
      <c r="C36" s="495"/>
      <c r="D36" s="495"/>
      <c r="E36" s="495"/>
      <c r="F36" s="495"/>
      <c r="G36" s="289"/>
      <c r="H36" s="438" t="s">
        <v>3131</v>
      </c>
    </row>
    <row r="37" spans="2:13" ht="21" customHeight="1">
      <c r="B37" s="248"/>
      <c r="C37" s="495"/>
      <c r="D37" s="495"/>
      <c r="E37" s="495"/>
      <c r="F37" s="495"/>
      <c r="G37" s="289"/>
      <c r="H37" s="498"/>
    </row>
    <row r="38" spans="2:13" ht="21" customHeight="1">
      <c r="B38" s="248"/>
      <c r="C38" s="495"/>
      <c r="D38" s="495"/>
      <c r="E38" s="495"/>
      <c r="F38" s="495"/>
      <c r="G38" s="289"/>
      <c r="H38" s="438" t="s">
        <v>3131</v>
      </c>
    </row>
    <row r="39" spans="2:13" ht="21" customHeight="1">
      <c r="B39" s="248"/>
      <c r="C39" s="495"/>
      <c r="D39" s="495"/>
      <c r="E39" s="495"/>
      <c r="F39" s="495"/>
      <c r="G39" s="289"/>
      <c r="H39" s="438"/>
    </row>
    <row r="40" spans="2:13" ht="21" customHeight="1">
      <c r="B40" s="248"/>
      <c r="C40" s="248" t="s">
        <v>3199</v>
      </c>
      <c r="D40" s="248"/>
      <c r="E40" s="248"/>
      <c r="F40" s="248"/>
      <c r="G40" s="663"/>
      <c r="H40" s="668">
        <f>+'53-Utility5'!I41</f>
        <v>0</v>
      </c>
    </row>
    <row r="41" spans="2:13" ht="21" customHeight="1">
      <c r="B41" s="248"/>
      <c r="C41" s="248" t="s">
        <v>803</v>
      </c>
      <c r="D41" s="248"/>
      <c r="E41" s="248"/>
      <c r="F41" s="248"/>
      <c r="G41" s="663"/>
      <c r="H41" s="668">
        <f>+'53-Utility5'!I24</f>
        <v>0</v>
      </c>
    </row>
    <row r="42" spans="2:13" ht="21" customHeight="1">
      <c r="B42" s="248"/>
      <c r="C42" s="248" t="s">
        <v>641</v>
      </c>
      <c r="D42" s="248"/>
      <c r="E42" s="248"/>
      <c r="F42" s="248"/>
      <c r="G42" s="663"/>
      <c r="H42" s="668">
        <f>+'54-Utility5'!I42</f>
        <v>0</v>
      </c>
    </row>
    <row r="43" spans="2:13" ht="21" customHeight="1" thickBot="1">
      <c r="B43" s="248"/>
      <c r="C43" s="248"/>
      <c r="D43" s="248"/>
      <c r="E43" s="248"/>
      <c r="F43" s="248"/>
      <c r="G43" s="881"/>
      <c r="H43" s="882"/>
      <c r="I43" s="301"/>
      <c r="M43" s="301"/>
    </row>
    <row r="44" spans="2:13" ht="21" customHeight="1" thickBot="1">
      <c r="B44" s="248"/>
      <c r="C44" s="248" t="s">
        <v>798</v>
      </c>
      <c r="D44" s="248"/>
      <c r="E44" s="248"/>
      <c r="F44" s="248"/>
      <c r="G44" s="883">
        <f>SUM(G12:G42)</f>
        <v>0</v>
      </c>
      <c r="H44" s="884">
        <f>SUM(H12:H43)</f>
        <v>0</v>
      </c>
      <c r="I44" s="301"/>
      <c r="K44" s="301"/>
    </row>
    <row r="45" spans="2:13" ht="13.8" thickTop="1">
      <c r="B45" s="1361" t="s">
        <v>98</v>
      </c>
      <c r="C45" s="1361"/>
      <c r="D45" s="1361"/>
      <c r="E45" s="1361"/>
      <c r="F45" s="1361"/>
      <c r="G45" s="1352"/>
      <c r="H45" s="1352"/>
    </row>
    <row r="46" spans="2:13">
      <c r="B46" s="302"/>
      <c r="C46" s="302"/>
      <c r="D46" s="302"/>
      <c r="E46" s="302"/>
      <c r="F46" s="302"/>
      <c r="G46" s="302"/>
      <c r="H46" s="302"/>
    </row>
    <row r="47" spans="2:13">
      <c r="B47" s="302"/>
      <c r="C47" s="302"/>
      <c r="D47" s="302"/>
      <c r="E47" s="302"/>
      <c r="F47" s="302"/>
      <c r="G47" s="302"/>
      <c r="H47" s="302"/>
    </row>
    <row r="48" spans="2:13">
      <c r="B48" s="302"/>
      <c r="C48" s="302"/>
      <c r="D48" s="302"/>
      <c r="E48" s="302"/>
      <c r="F48" s="302"/>
      <c r="G48" s="302"/>
      <c r="H48" s="302"/>
    </row>
    <row r="49" spans="2:8">
      <c r="B49" s="302"/>
      <c r="C49" s="302"/>
      <c r="D49" s="302"/>
      <c r="E49" s="302"/>
      <c r="F49" s="302"/>
      <c r="G49" s="302"/>
      <c r="H49" s="302"/>
    </row>
    <row r="50" spans="2:8" ht="13.8">
      <c r="B50" s="1353" t="s">
        <v>3394</v>
      </c>
      <c r="C50" s="1353"/>
      <c r="D50" s="1353"/>
      <c r="E50" s="1353"/>
      <c r="F50" s="1353"/>
      <c r="G50" s="1353"/>
      <c r="H50" s="1353"/>
    </row>
    <row r="55" spans="2:8">
      <c r="H55" s="301"/>
    </row>
  </sheetData>
  <sheetProtection algorithmName="SHA-512" hashValue="XGATFHC/bGj4VSKUHGErxv05KAVCFU4o8NlH7OLBKs1NtNGqQ58Jn+OWTltJ8jiXas8j5opKEPiGj2fvOh2/Lw==" saltValue="ngBLHAiwuMq58QSK0oqxqA=="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dimension ref="A2:P27"/>
  <sheetViews>
    <sheetView zoomScaleNormal="100" workbookViewId="0">
      <selection activeCell="H11" sqref="H11"/>
    </sheetView>
  </sheetViews>
  <sheetFormatPr defaultRowHeight="13.2"/>
  <cols>
    <col min="1" max="1" width="5.6640625" customWidth="1"/>
    <col min="2" max="3" width="4.88671875" customWidth="1"/>
    <col min="4" max="4" width="30.6640625" customWidth="1"/>
    <col min="5" max="12" width="15.6640625" customWidth="1"/>
  </cols>
  <sheetData>
    <row r="2" spans="1:16" ht="20.399999999999999">
      <c r="B2" s="1131" t="s">
        <v>526</v>
      </c>
      <c r="C2" s="1131"/>
      <c r="D2" s="1131"/>
      <c r="E2" s="1131"/>
      <c r="F2" s="1131"/>
      <c r="G2" s="1131"/>
      <c r="H2" s="1131"/>
      <c r="I2" s="1131"/>
      <c r="J2" s="1131"/>
      <c r="K2" s="1131"/>
      <c r="L2" s="1131"/>
    </row>
    <row r="3" spans="1:16" ht="21" thickBot="1">
      <c r="B3" s="1131" t="s">
        <v>527</v>
      </c>
      <c r="C3" s="1131"/>
      <c r="D3" s="1131"/>
      <c r="E3" s="1131"/>
      <c r="F3" s="1131"/>
      <c r="G3" s="1131"/>
      <c r="H3" s="1131"/>
      <c r="I3" s="1131"/>
      <c r="J3" s="1131"/>
      <c r="K3" s="1131"/>
      <c r="L3" s="1131"/>
    </row>
    <row r="4" spans="1:16" ht="13.8" thickTop="1">
      <c r="B4" s="11"/>
      <c r="C4" s="11"/>
      <c r="D4" s="11"/>
      <c r="E4" s="12" t="s">
        <v>528</v>
      </c>
      <c r="F4" s="11"/>
      <c r="G4" s="11"/>
      <c r="H4" s="11"/>
      <c r="I4" s="11"/>
      <c r="J4" s="6"/>
      <c r="K4" s="11"/>
      <c r="L4" s="18"/>
    </row>
    <row r="5" spans="1:16" ht="15.6">
      <c r="C5" t="s">
        <v>536</v>
      </c>
      <c r="E5" s="13" t="s">
        <v>529</v>
      </c>
      <c r="F5" s="1192" t="s">
        <v>530</v>
      </c>
      <c r="G5" s="1193"/>
      <c r="H5" s="1193"/>
      <c r="I5" s="1194"/>
      <c r="J5" s="15"/>
      <c r="L5" s="21" t="s">
        <v>529</v>
      </c>
    </row>
    <row r="6" spans="1:16">
      <c r="C6" t="s">
        <v>537</v>
      </c>
      <c r="E6" s="245" t="str">
        <f>'6b-Total Trust Fund Reserves'!G6</f>
        <v>Dec. 31, 2023</v>
      </c>
      <c r="F6" s="13" t="s">
        <v>531</v>
      </c>
      <c r="G6" s="13" t="s">
        <v>533</v>
      </c>
      <c r="H6" s="15"/>
      <c r="I6" s="15"/>
      <c r="J6" s="15"/>
      <c r="K6" s="20" t="s">
        <v>535</v>
      </c>
      <c r="L6" s="244" t="str">
        <f>'6b-Total Trust Fund Reserves'!M8</f>
        <v>Dec. 31, 2024</v>
      </c>
    </row>
    <row r="7" spans="1:16" ht="13.8" thickBot="1">
      <c r="B7" s="10"/>
      <c r="C7" s="10"/>
      <c r="D7" s="10"/>
      <c r="E7" s="14"/>
      <c r="F7" s="16" t="s">
        <v>532</v>
      </c>
      <c r="G7" s="16" t="s">
        <v>534</v>
      </c>
      <c r="H7" s="14"/>
      <c r="I7" s="14"/>
      <c r="J7" s="14"/>
      <c r="K7" s="17"/>
      <c r="L7" s="19"/>
    </row>
    <row r="8" spans="1:16" ht="21" customHeight="1" thickTop="1">
      <c r="B8" s="22" t="s">
        <v>621</v>
      </c>
      <c r="C8" s="22"/>
      <c r="D8" s="23"/>
      <c r="E8" s="137" t="s">
        <v>627</v>
      </c>
      <c r="F8" s="137" t="s">
        <v>627</v>
      </c>
      <c r="G8" s="137" t="s">
        <v>627</v>
      </c>
      <c r="H8" s="137" t="s">
        <v>627</v>
      </c>
      <c r="I8" s="137" t="s">
        <v>627</v>
      </c>
      <c r="J8" s="137" t="s">
        <v>627</v>
      </c>
      <c r="K8" s="137" t="s">
        <v>627</v>
      </c>
      <c r="L8" s="641" t="s">
        <v>627</v>
      </c>
    </row>
    <row r="9" spans="1:16" ht="21" customHeight="1">
      <c r="B9" s="417"/>
      <c r="C9" s="417"/>
      <c r="D9" s="423"/>
      <c r="E9" s="291"/>
      <c r="F9" s="291"/>
      <c r="G9" s="291"/>
      <c r="H9" s="291"/>
      <c r="I9" s="291"/>
      <c r="J9" s="291"/>
      <c r="K9" s="291"/>
      <c r="L9" s="630">
        <f>+E9+F9+G9+H9+I9-J9-K9</f>
        <v>0</v>
      </c>
    </row>
    <row r="10" spans="1:16" ht="21" customHeight="1">
      <c r="B10" s="417"/>
      <c r="C10" s="417"/>
      <c r="D10" s="423"/>
      <c r="E10" s="291"/>
      <c r="F10" s="291"/>
      <c r="G10" s="291"/>
      <c r="H10" s="291"/>
      <c r="I10" s="291"/>
      <c r="J10" s="291"/>
      <c r="K10" s="291"/>
      <c r="L10" s="630">
        <f t="shared" ref="L10:L13" si="0">+E10+F10+G10+H10+I10-J10-K10</f>
        <v>0</v>
      </c>
    </row>
    <row r="11" spans="1:16" ht="21" customHeight="1">
      <c r="B11" s="417"/>
      <c r="C11" s="417"/>
      <c r="D11" s="423"/>
      <c r="E11" s="291"/>
      <c r="F11" s="291"/>
      <c r="G11" s="291"/>
      <c r="H11" s="291"/>
      <c r="I11" s="291"/>
      <c r="J11" s="291"/>
      <c r="K11" s="291"/>
      <c r="L11" s="630">
        <f t="shared" si="0"/>
        <v>0</v>
      </c>
      <c r="P11" s="294"/>
    </row>
    <row r="12" spans="1:16" ht="21" customHeight="1">
      <c r="B12" s="417"/>
      <c r="C12" s="417"/>
      <c r="D12" s="423"/>
      <c r="E12" s="291"/>
      <c r="F12" s="291"/>
      <c r="G12" s="291"/>
      <c r="H12" s="291"/>
      <c r="I12" s="291"/>
      <c r="J12" s="291"/>
      <c r="K12" s="291"/>
      <c r="L12" s="630">
        <f t="shared" si="0"/>
        <v>0</v>
      </c>
    </row>
    <row r="13" spans="1:16" ht="21" customHeight="1">
      <c r="B13" s="417"/>
      <c r="C13" s="417"/>
      <c r="D13" s="423"/>
      <c r="E13" s="446"/>
      <c r="F13" s="291"/>
      <c r="G13" s="291"/>
      <c r="H13" s="291"/>
      <c r="I13" s="291"/>
      <c r="J13" s="291"/>
      <c r="K13" s="291"/>
      <c r="L13" s="630">
        <f t="shared" si="0"/>
        <v>0</v>
      </c>
    </row>
    <row r="14" spans="1:16" ht="21" customHeight="1">
      <c r="B14" s="5" t="s">
        <v>622</v>
      </c>
      <c r="C14" s="5"/>
      <c r="D14" s="24"/>
      <c r="E14" s="138" t="s">
        <v>627</v>
      </c>
      <c r="F14" s="138" t="s">
        <v>627</v>
      </c>
      <c r="G14" s="138" t="s">
        <v>627</v>
      </c>
      <c r="H14" s="138" t="s">
        <v>627</v>
      </c>
      <c r="I14" s="138" t="s">
        <v>627</v>
      </c>
      <c r="J14" s="138" t="s">
        <v>627</v>
      </c>
      <c r="K14" s="138" t="s">
        <v>627</v>
      </c>
      <c r="L14" s="642" t="s">
        <v>627</v>
      </c>
    </row>
    <row r="15" spans="1:16" ht="21" customHeight="1">
      <c r="A15" s="1195" t="s">
        <v>538</v>
      </c>
      <c r="B15" s="417"/>
      <c r="C15" s="417"/>
      <c r="D15" s="423"/>
      <c r="E15" s="291"/>
      <c r="F15" s="291"/>
      <c r="G15" s="291"/>
      <c r="H15" s="291"/>
      <c r="I15" s="291"/>
      <c r="J15" s="291"/>
      <c r="K15" s="291"/>
      <c r="L15" s="630">
        <f>+E15+F15+G15+H15+I15-J15-K15</f>
        <v>0</v>
      </c>
    </row>
    <row r="16" spans="1:16" ht="21" customHeight="1">
      <c r="A16" s="1195"/>
      <c r="B16" s="417"/>
      <c r="C16" s="417"/>
      <c r="D16" s="423"/>
      <c r="E16" s="291"/>
      <c r="F16" s="291"/>
      <c r="G16" s="291"/>
      <c r="H16" s="291"/>
      <c r="I16" s="291"/>
      <c r="J16" s="291"/>
      <c r="K16" s="291"/>
      <c r="L16" s="630">
        <f t="shared" ref="L16:L25" si="1">+E16+F16+G16+H16+I16-J16-K16</f>
        <v>0</v>
      </c>
    </row>
    <row r="17" spans="1:12" ht="21" customHeight="1">
      <c r="A17" s="1195"/>
      <c r="B17" s="417"/>
      <c r="C17" s="417"/>
      <c r="D17" s="423"/>
      <c r="E17" s="291"/>
      <c r="F17" s="291"/>
      <c r="G17" s="291"/>
      <c r="H17" s="291"/>
      <c r="I17" s="291"/>
      <c r="J17" s="291"/>
      <c r="K17" s="291"/>
      <c r="L17" s="630">
        <f t="shared" si="1"/>
        <v>0</v>
      </c>
    </row>
    <row r="18" spans="1:12" ht="21" customHeight="1">
      <c r="B18" s="417"/>
      <c r="C18" s="417"/>
      <c r="D18" s="423"/>
      <c r="E18" s="291"/>
      <c r="F18" s="291"/>
      <c r="G18" s="291"/>
      <c r="H18" s="291"/>
      <c r="I18" s="291"/>
      <c r="J18" s="291"/>
      <c r="K18" s="291"/>
      <c r="L18" s="630">
        <f t="shared" si="1"/>
        <v>0</v>
      </c>
    </row>
    <row r="19" spans="1:12" ht="21" customHeight="1">
      <c r="B19" s="5" t="s">
        <v>623</v>
      </c>
      <c r="C19" s="5"/>
      <c r="D19" s="24"/>
      <c r="E19" s="291"/>
      <c r="F19" s="291"/>
      <c r="G19" s="291"/>
      <c r="H19" s="291"/>
      <c r="I19" s="291"/>
      <c r="J19" s="291"/>
      <c r="K19" s="291"/>
      <c r="L19" s="630">
        <f t="shared" si="1"/>
        <v>0</v>
      </c>
    </row>
    <row r="20" spans="1:12" ht="21" customHeight="1">
      <c r="B20" s="5" t="s">
        <v>624</v>
      </c>
      <c r="C20" s="5"/>
      <c r="D20" s="24"/>
      <c r="E20" s="291"/>
      <c r="F20" s="291"/>
      <c r="G20" s="291"/>
      <c r="H20" s="291"/>
      <c r="I20" s="291"/>
      <c r="J20" s="291"/>
      <c r="K20" s="291"/>
      <c r="L20" s="630">
        <f t="shared" si="1"/>
        <v>0</v>
      </c>
    </row>
    <row r="21" spans="1:12" ht="21" customHeight="1">
      <c r="B21" s="5" t="s">
        <v>625</v>
      </c>
      <c r="C21" s="5"/>
      <c r="D21" s="24"/>
      <c r="E21" s="138" t="s">
        <v>627</v>
      </c>
      <c r="F21" s="138" t="s">
        <v>627</v>
      </c>
      <c r="G21" s="138" t="s">
        <v>627</v>
      </c>
      <c r="H21" s="138" t="s">
        <v>627</v>
      </c>
      <c r="I21" s="138" t="s">
        <v>627</v>
      </c>
      <c r="J21" s="138" t="s">
        <v>627</v>
      </c>
      <c r="K21" s="138" t="s">
        <v>627</v>
      </c>
      <c r="L21" s="643" t="s">
        <v>627</v>
      </c>
    </row>
    <row r="22" spans="1:12" ht="21" customHeight="1">
      <c r="B22" s="417"/>
      <c r="C22" s="417"/>
      <c r="D22" s="423"/>
      <c r="E22" s="1088"/>
      <c r="F22" s="1088"/>
      <c r="G22" s="1088"/>
      <c r="H22" s="1088"/>
      <c r="I22" s="1088"/>
      <c r="J22" s="1088"/>
      <c r="K22" s="1088"/>
      <c r="L22" s="630">
        <f t="shared" si="1"/>
        <v>0</v>
      </c>
    </row>
    <row r="23" spans="1:12" ht="21" customHeight="1">
      <c r="B23" s="417"/>
      <c r="C23" s="417"/>
      <c r="D23" s="423"/>
      <c r="E23" s="1088"/>
      <c r="F23" s="1088"/>
      <c r="G23" s="1088"/>
      <c r="H23" s="1088"/>
      <c r="I23" s="1088"/>
      <c r="J23" s="1088"/>
      <c r="K23" s="1088"/>
      <c r="L23" s="630">
        <f t="shared" si="1"/>
        <v>0</v>
      </c>
    </row>
    <row r="24" spans="1:12" ht="21" customHeight="1">
      <c r="B24" s="417"/>
      <c r="C24" s="417"/>
      <c r="D24" s="423"/>
      <c r="E24" s="1088"/>
      <c r="F24" s="1088"/>
      <c r="G24" s="1088"/>
      <c r="H24" s="1088"/>
      <c r="I24" s="1088"/>
      <c r="J24" s="1088"/>
      <c r="K24" s="1088"/>
      <c r="L24" s="630">
        <f t="shared" si="1"/>
        <v>0</v>
      </c>
    </row>
    <row r="25" spans="1:12" ht="21" customHeight="1">
      <c r="B25" s="417"/>
      <c r="C25" s="417"/>
      <c r="D25" s="423"/>
      <c r="E25" s="1088"/>
      <c r="F25" s="1088"/>
      <c r="G25" s="1088"/>
      <c r="H25" s="1088"/>
      <c r="I25" s="1088"/>
      <c r="J25" s="1088"/>
      <c r="K25" s="1088"/>
      <c r="L25" s="630">
        <f t="shared" si="1"/>
        <v>0</v>
      </c>
    </row>
    <row r="26" spans="1:12" ht="21" customHeight="1" thickBot="1">
      <c r="B26" s="27"/>
      <c r="C26" s="27"/>
      <c r="D26" s="41"/>
      <c r="E26" s="639">
        <f>SUM(E9:E25)</f>
        <v>0</v>
      </c>
      <c r="F26" s="639">
        <f t="shared" ref="F26:K26" si="2">SUM(F9:F25)</f>
        <v>0</v>
      </c>
      <c r="G26" s="639">
        <f t="shared" si="2"/>
        <v>0</v>
      </c>
      <c r="H26" s="639">
        <f t="shared" si="2"/>
        <v>0</v>
      </c>
      <c r="I26" s="639">
        <f t="shared" si="2"/>
        <v>0</v>
      </c>
      <c r="J26" s="639">
        <f t="shared" si="2"/>
        <v>0</v>
      </c>
      <c r="K26" s="639">
        <f t="shared" si="2"/>
        <v>0</v>
      </c>
      <c r="L26" s="640">
        <f>SUM(L9:L25)</f>
        <v>0</v>
      </c>
    </row>
    <row r="27" spans="1:12" ht="13.8" thickTop="1">
      <c r="B27" s="34" t="s">
        <v>626</v>
      </c>
    </row>
  </sheetData>
  <sheetProtection algorithmName="SHA-512" hashValue="mQSXYO75sxVRHPs605wLOjkrD2ssacZ1YrxYJrI+lbvmwMxUiFqqgs8fpVTw1e4XN+/30nrGjJvT/BKrWnZgDw==" saltValue="yaL4tcFnDzZYh/cuXL9m8w==" spinCount="100000" sheet="1" scenarios="1"/>
  <mergeCells count="4">
    <mergeCell ref="B2:L2"/>
    <mergeCell ref="B3:L3"/>
    <mergeCell ref="F5:I5"/>
    <mergeCell ref="A15:A17"/>
  </mergeCells>
  <phoneticPr fontId="0" type="noConversion"/>
  <pageMargins left="0.25" right="0.25" top="0.5" bottom="0.5" header="0.25" footer="0.25"/>
  <pageSetup paperSize="5" orientation="landscape" r:id="rId1"/>
  <headerFooter alignWithMargins="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E4169-7C41-4632-B3A9-442F4D850844}">
  <sheetPr codeName="Sheet250">
    <tabColor theme="7" tint="0.39997558519241921"/>
  </sheetPr>
  <dimension ref="B3:R49"/>
  <sheetViews>
    <sheetView zoomScaleNormal="100" zoomScaleSheetLayoutView="80" workbookViewId="0">
      <selection activeCell="B10" sqref="B10:F10"/>
    </sheetView>
  </sheetViews>
  <sheetFormatPr defaultColWidth="9.109375" defaultRowHeight="13.2"/>
  <cols>
    <col min="1" max="1" width="4.6640625" style="267" customWidth="1"/>
    <col min="2" max="2" width="4.88671875" style="267" customWidth="1"/>
    <col min="3" max="4" width="4.6640625" style="267" customWidth="1"/>
    <col min="5" max="5" width="30.6640625" style="267" customWidth="1"/>
    <col min="6" max="6" width="15.6640625" style="267" customWidth="1"/>
    <col min="7" max="8" width="16.6640625" style="267" customWidth="1"/>
    <col min="9" max="16384" width="9.109375" style="267"/>
  </cols>
  <sheetData>
    <row r="3" spans="2:18" ht="22.8">
      <c r="B3" s="1358" t="s">
        <v>823</v>
      </c>
      <c r="C3" s="1358"/>
      <c r="D3" s="1358"/>
      <c r="E3" s="1358"/>
      <c r="F3" s="1358"/>
      <c r="G3" s="1358"/>
      <c r="H3" s="1358"/>
    </row>
    <row r="4" spans="2:18" ht="22.8">
      <c r="B4" s="1358" t="s">
        <v>824</v>
      </c>
      <c r="C4" s="1358"/>
      <c r="D4" s="1358"/>
      <c r="E4" s="1358"/>
      <c r="F4" s="1358"/>
      <c r="G4" s="1358"/>
      <c r="H4" s="1358"/>
    </row>
    <row r="5" spans="2:18" ht="15.6">
      <c r="B5" s="1360"/>
      <c r="C5" s="1360"/>
      <c r="D5" s="1360"/>
      <c r="E5" s="1360"/>
      <c r="F5" s="1360"/>
      <c r="G5" s="1360"/>
      <c r="H5" s="1360"/>
    </row>
    <row r="6" spans="2:18" ht="13.8">
      <c r="B6" s="1362" t="s">
        <v>825</v>
      </c>
      <c r="C6" s="1362"/>
      <c r="D6" s="1362"/>
      <c r="E6" s="1362"/>
      <c r="F6" s="1362"/>
      <c r="G6" s="1362"/>
      <c r="H6" s="1362"/>
    </row>
    <row r="7" spans="2:18" ht="13.8">
      <c r="B7" s="1362" t="s">
        <v>829</v>
      </c>
      <c r="C7" s="1362"/>
      <c r="D7" s="1362"/>
      <c r="E7" s="1362"/>
      <c r="F7" s="1362"/>
      <c r="G7" s="1362"/>
      <c r="H7" s="1362"/>
    </row>
    <row r="8" spans="2:18" ht="13.8">
      <c r="B8" s="787"/>
      <c r="C8" s="787"/>
      <c r="D8" s="787"/>
      <c r="E8" s="787"/>
      <c r="F8" s="787"/>
      <c r="G8" s="787"/>
      <c r="H8" s="787"/>
    </row>
    <row r="9" spans="2:18" ht="15" customHeight="1" thickBot="1">
      <c r="B9" s="1359" t="str">
        <f>IF('KEY INPUTS'!C42 = "State Fiscal Year", 'KEY INPUTS'!F45,'KEY INPUTS'!D45)</f>
        <v>AS  AT  DECEMBER  31, 2024</v>
      </c>
      <c r="C9" s="1360"/>
      <c r="D9" s="1360"/>
      <c r="E9" s="1360"/>
      <c r="F9" s="1360"/>
      <c r="G9" s="1360"/>
      <c r="H9" s="1360"/>
    </row>
    <row r="10" spans="2:18" ht="36" customHeight="1" thickTop="1" thickBot="1">
      <c r="B10" s="1350" t="s">
        <v>95</v>
      </c>
      <c r="C10" s="1350"/>
      <c r="D10" s="1350"/>
      <c r="E10" s="1350"/>
      <c r="F10" s="1351"/>
      <c r="G10" s="304" t="s">
        <v>96</v>
      </c>
      <c r="H10" s="308" t="s">
        <v>97</v>
      </c>
    </row>
    <row r="11" spans="2:18" ht="21" customHeight="1" thickTop="1">
      <c r="B11" s="574" t="s">
        <v>351</v>
      </c>
      <c r="C11" s="574"/>
      <c r="D11" s="574"/>
      <c r="E11" s="574"/>
      <c r="F11" s="574"/>
      <c r="G11" s="497"/>
      <c r="H11" s="498"/>
      <c r="L11"/>
      <c r="M11"/>
      <c r="N11"/>
      <c r="O11"/>
      <c r="P11"/>
      <c r="Q11"/>
      <c r="R11"/>
    </row>
    <row r="12" spans="2:18" ht="21" customHeight="1">
      <c r="B12" s="495"/>
      <c r="C12" s="495"/>
      <c r="D12" s="495"/>
      <c r="E12" s="495"/>
      <c r="F12" s="495"/>
      <c r="G12" s="450"/>
      <c r="H12" s="457"/>
      <c r="L12"/>
      <c r="M12"/>
      <c r="N12"/>
      <c r="O12"/>
      <c r="P12"/>
      <c r="Q12"/>
      <c r="R12"/>
    </row>
    <row r="13" spans="2:18" ht="21" customHeight="1">
      <c r="B13" s="495"/>
      <c r="C13" s="495"/>
      <c r="D13" s="495"/>
      <c r="E13" s="495"/>
      <c r="F13" s="495"/>
      <c r="G13" s="450"/>
      <c r="H13" s="457"/>
      <c r="L13" s="294"/>
      <c r="M13"/>
      <c r="N13"/>
      <c r="O13"/>
      <c r="P13"/>
      <c r="Q13"/>
      <c r="R13"/>
    </row>
    <row r="14" spans="2:18" ht="21" customHeight="1">
      <c r="B14" s="495"/>
      <c r="C14" s="495"/>
      <c r="D14" s="495"/>
      <c r="E14" s="495"/>
      <c r="F14" s="495"/>
      <c r="G14" s="450"/>
      <c r="H14" s="457"/>
      <c r="L14"/>
      <c r="M14"/>
      <c r="N14"/>
      <c r="O14"/>
      <c r="P14"/>
      <c r="Q14"/>
      <c r="R14"/>
    </row>
    <row r="15" spans="2:18" ht="21" customHeight="1">
      <c r="B15" s="495"/>
      <c r="C15" s="495"/>
      <c r="D15" s="495"/>
      <c r="E15" s="495"/>
      <c r="F15" s="495"/>
      <c r="G15" s="450"/>
      <c r="H15" s="457"/>
      <c r="L15"/>
      <c r="M15"/>
      <c r="N15"/>
      <c r="O15"/>
      <c r="P15"/>
      <c r="Q15"/>
      <c r="R15"/>
    </row>
    <row r="16" spans="2:18" ht="21" customHeight="1">
      <c r="B16" s="495"/>
      <c r="C16" s="495"/>
      <c r="D16" s="495"/>
      <c r="E16" s="495"/>
      <c r="F16" s="495"/>
      <c r="G16" s="450"/>
      <c r="H16" s="457"/>
      <c r="L16"/>
      <c r="M16"/>
      <c r="N16"/>
      <c r="O16"/>
      <c r="P16"/>
      <c r="Q16"/>
      <c r="R16"/>
    </row>
    <row r="17" spans="2:18" ht="21" customHeight="1">
      <c r="B17" s="495"/>
      <c r="C17" s="495"/>
      <c r="D17" s="495"/>
      <c r="E17" s="495"/>
      <c r="F17" s="495"/>
      <c r="G17" s="450"/>
      <c r="H17" s="457"/>
      <c r="L17"/>
      <c r="M17"/>
      <c r="N17"/>
      <c r="O17"/>
      <c r="P17"/>
      <c r="Q17"/>
      <c r="R17"/>
    </row>
    <row r="18" spans="2:18" ht="21" customHeight="1">
      <c r="B18" s="495"/>
      <c r="C18" s="495"/>
      <c r="D18" s="495"/>
      <c r="E18" s="495"/>
      <c r="F18" s="495"/>
      <c r="G18" s="450"/>
      <c r="H18" s="457"/>
      <c r="L18"/>
      <c r="M18"/>
      <c r="N18"/>
      <c r="O18"/>
      <c r="P18"/>
      <c r="Q18"/>
      <c r="R18"/>
    </row>
    <row r="19" spans="2:18" ht="21" customHeight="1">
      <c r="B19" s="495"/>
      <c r="C19" s="495"/>
      <c r="D19" s="495"/>
      <c r="E19" s="495"/>
      <c r="F19" s="495"/>
      <c r="G19" s="450"/>
      <c r="H19" s="457"/>
      <c r="L19"/>
      <c r="M19"/>
      <c r="N19"/>
      <c r="O19"/>
      <c r="P19"/>
      <c r="Q19"/>
      <c r="R19"/>
    </row>
    <row r="20" spans="2:18" ht="21" customHeight="1">
      <c r="B20" s="495"/>
      <c r="C20" s="495"/>
      <c r="D20" s="495"/>
      <c r="E20" s="495"/>
      <c r="F20" s="495"/>
      <c r="G20" s="450"/>
      <c r="H20" s="457"/>
      <c r="L20"/>
      <c r="M20"/>
      <c r="N20"/>
      <c r="O20"/>
      <c r="P20"/>
      <c r="Q20"/>
      <c r="R20"/>
    </row>
    <row r="21" spans="2:18" ht="21" customHeight="1">
      <c r="B21" s="495"/>
      <c r="C21" s="495"/>
      <c r="D21" s="495"/>
      <c r="E21" s="495"/>
      <c r="F21" s="495"/>
      <c r="G21" s="450"/>
      <c r="H21" s="457"/>
      <c r="L21"/>
      <c r="M21"/>
      <c r="N21"/>
      <c r="O21"/>
      <c r="P21"/>
      <c r="Q21"/>
      <c r="R21"/>
    </row>
    <row r="22" spans="2:18" ht="21" customHeight="1">
      <c r="B22" s="495"/>
      <c r="C22" s="495"/>
      <c r="D22" s="495"/>
      <c r="E22" s="495"/>
      <c r="F22" s="495"/>
      <c r="G22" s="450"/>
      <c r="H22" s="457"/>
      <c r="L22"/>
      <c r="M22"/>
      <c r="N22"/>
      <c r="O22"/>
      <c r="P22"/>
      <c r="Q22"/>
      <c r="R22"/>
    </row>
    <row r="23" spans="2:18" ht="21" customHeight="1">
      <c r="B23" s="495"/>
      <c r="C23" s="495"/>
      <c r="D23" s="495"/>
      <c r="E23" s="495"/>
      <c r="F23" s="495"/>
      <c r="G23" s="450"/>
      <c r="H23" s="457"/>
      <c r="L23"/>
      <c r="M23"/>
      <c r="N23"/>
      <c r="O23"/>
      <c r="P23"/>
      <c r="Q23"/>
      <c r="R23"/>
    </row>
    <row r="24" spans="2:18" ht="21" customHeight="1">
      <c r="B24" s="495"/>
      <c r="C24" s="495"/>
      <c r="D24" s="495"/>
      <c r="E24" s="495"/>
      <c r="F24" s="495"/>
      <c r="G24" s="450"/>
      <c r="H24" s="457"/>
      <c r="L24"/>
      <c r="M24"/>
      <c r="N24"/>
      <c r="O24"/>
      <c r="P24"/>
      <c r="Q24"/>
      <c r="R24"/>
    </row>
    <row r="25" spans="2:18" ht="21" customHeight="1">
      <c r="B25" s="495"/>
      <c r="C25" s="495"/>
      <c r="D25" s="495"/>
      <c r="E25" s="495"/>
      <c r="F25" s="495"/>
      <c r="G25" s="450"/>
      <c r="H25" s="457"/>
      <c r="L25"/>
      <c r="M25"/>
      <c r="N25"/>
      <c r="O25"/>
      <c r="P25"/>
      <c r="Q25"/>
      <c r="R25"/>
    </row>
    <row r="26" spans="2:18" ht="21" customHeight="1">
      <c r="B26" s="495"/>
      <c r="C26" s="495"/>
      <c r="D26" s="495"/>
      <c r="E26" s="495"/>
      <c r="F26" s="495"/>
      <c r="G26" s="450"/>
      <c r="H26" s="457"/>
      <c r="L26"/>
      <c r="M26"/>
      <c r="N26"/>
      <c r="O26"/>
      <c r="P26"/>
      <c r="Q26"/>
      <c r="R26"/>
    </row>
    <row r="27" spans="2:18" ht="21" customHeight="1">
      <c r="B27" s="495"/>
      <c r="C27" s="495"/>
      <c r="D27" s="495"/>
      <c r="E27" s="495"/>
      <c r="F27" s="495"/>
      <c r="G27" s="450"/>
      <c r="H27" s="457"/>
      <c r="L27"/>
      <c r="M27"/>
      <c r="N27"/>
      <c r="O27"/>
      <c r="P27"/>
      <c r="Q27"/>
      <c r="R27"/>
    </row>
    <row r="28" spans="2:18" ht="21" customHeight="1">
      <c r="B28" s="495"/>
      <c r="C28" s="495"/>
      <c r="D28" s="495"/>
      <c r="E28" s="495"/>
      <c r="F28" s="495"/>
      <c r="G28" s="450"/>
      <c r="H28" s="457"/>
    </row>
    <row r="29" spans="2:18" ht="21" customHeight="1">
      <c r="B29" s="495"/>
      <c r="C29" s="495"/>
      <c r="D29" s="495"/>
      <c r="E29" s="495"/>
      <c r="F29" s="495"/>
      <c r="G29" s="450"/>
      <c r="H29" s="457"/>
    </row>
    <row r="30" spans="2:18" ht="21" customHeight="1">
      <c r="B30" s="495"/>
      <c r="C30" s="495"/>
      <c r="D30" s="495"/>
      <c r="E30" s="495"/>
      <c r="F30" s="495"/>
      <c r="G30" s="450"/>
      <c r="H30" s="457"/>
    </row>
    <row r="31" spans="2:18" ht="21" customHeight="1">
      <c r="B31" s="495"/>
      <c r="C31" s="495"/>
      <c r="D31" s="495"/>
      <c r="E31" s="495"/>
      <c r="F31" s="495"/>
      <c r="G31" s="450"/>
      <c r="H31" s="457"/>
    </row>
    <row r="32" spans="2:18" ht="21" customHeight="1">
      <c r="B32" s="495"/>
      <c r="C32" s="495"/>
      <c r="D32" s="495"/>
      <c r="E32" s="495"/>
      <c r="F32" s="495"/>
      <c r="G32" s="450"/>
      <c r="H32" s="457"/>
    </row>
    <row r="33" spans="2:8" ht="21" customHeight="1">
      <c r="B33" s="495"/>
      <c r="C33" s="495"/>
      <c r="D33" s="495"/>
      <c r="E33" s="495"/>
      <c r="F33" s="495"/>
      <c r="G33" s="450"/>
      <c r="H33" s="457"/>
    </row>
    <row r="34" spans="2:8" ht="21" customHeight="1">
      <c r="B34" s="495"/>
      <c r="C34" s="495"/>
      <c r="D34" s="495"/>
      <c r="E34" s="495"/>
      <c r="F34" s="495"/>
      <c r="G34" s="450"/>
      <c r="H34" s="457"/>
    </row>
    <row r="35" spans="2:8" ht="21" customHeight="1">
      <c r="B35" s="495"/>
      <c r="C35" s="495"/>
      <c r="D35" s="495"/>
      <c r="E35" s="495"/>
      <c r="F35" s="495"/>
      <c r="G35" s="450"/>
      <c r="H35" s="457"/>
    </row>
    <row r="36" spans="2:8" ht="21" customHeight="1">
      <c r="B36" s="495"/>
      <c r="C36" s="495"/>
      <c r="D36" s="495"/>
      <c r="E36" s="495"/>
      <c r="F36" s="495"/>
      <c r="G36" s="450"/>
      <c r="H36" s="457"/>
    </row>
    <row r="37" spans="2:8" ht="21" customHeight="1">
      <c r="B37" s="495"/>
      <c r="C37" s="495"/>
      <c r="D37" s="495"/>
      <c r="E37" s="495"/>
      <c r="F37" s="495"/>
      <c r="G37" s="450"/>
      <c r="H37" s="457"/>
    </row>
    <row r="38" spans="2:8" ht="21" customHeight="1">
      <c r="B38" s="788" t="s">
        <v>3200</v>
      </c>
      <c r="C38" s="788"/>
      <c r="D38" s="788"/>
      <c r="E38" s="788"/>
      <c r="F38" s="788"/>
      <c r="G38" s="450"/>
      <c r="H38" s="781">
        <f>+'51-Utility5'!G23</f>
        <v>0</v>
      </c>
    </row>
    <row r="39" spans="2:8" ht="21" customHeight="1">
      <c r="B39" s="788" t="s">
        <v>3201</v>
      </c>
      <c r="C39" s="788"/>
      <c r="D39" s="788"/>
      <c r="E39" s="788"/>
      <c r="F39" s="788"/>
      <c r="G39" s="450"/>
      <c r="H39" s="781">
        <f>+'49-Utility5'!G11</f>
        <v>0</v>
      </c>
    </row>
    <row r="40" spans="2:8" ht="21" customHeight="1">
      <c r="B40" s="788" t="s">
        <v>797</v>
      </c>
      <c r="C40" s="788"/>
      <c r="D40" s="788"/>
      <c r="E40" s="788"/>
      <c r="F40" s="788"/>
      <c r="G40" s="450"/>
      <c r="H40" s="781">
        <f>'43-Utility5'!L20</f>
        <v>0</v>
      </c>
    </row>
    <row r="41" spans="2:8" ht="21" customHeight="1">
      <c r="B41" s="495"/>
      <c r="C41" s="495"/>
      <c r="D41" s="495"/>
      <c r="E41" s="495"/>
      <c r="F41" s="495"/>
      <c r="G41" s="450"/>
      <c r="H41" s="457"/>
    </row>
    <row r="42" spans="2:8" ht="21" customHeight="1">
      <c r="B42" s="495"/>
      <c r="C42" s="495"/>
      <c r="D42" s="495"/>
      <c r="E42" s="495"/>
      <c r="F42" s="495"/>
      <c r="G42" s="450"/>
      <c r="H42" s="457"/>
    </row>
    <row r="43" spans="2:8" ht="21" customHeight="1">
      <c r="B43" s="248"/>
      <c r="C43" s="248"/>
      <c r="D43" s="248"/>
      <c r="E43" s="248"/>
      <c r="F43" s="248"/>
      <c r="G43" s="767">
        <f>SUM(G11:G42)</f>
        <v>0</v>
      </c>
      <c r="H43" s="790">
        <f>SUM(H11:H42)</f>
        <v>0</v>
      </c>
    </row>
    <row r="44" spans="2:8">
      <c r="B44" s="1352" t="s">
        <v>98</v>
      </c>
      <c r="C44" s="1352"/>
      <c r="D44" s="1352"/>
      <c r="E44" s="1352"/>
      <c r="F44" s="1352"/>
      <c r="G44" s="1352"/>
      <c r="H44" s="1352"/>
    </row>
    <row r="45" spans="2:8">
      <c r="B45" s="302"/>
      <c r="C45" s="302"/>
      <c r="D45" s="302"/>
      <c r="E45" s="302"/>
      <c r="F45" s="302"/>
      <c r="G45" s="302"/>
      <c r="H45" s="302"/>
    </row>
    <row r="46" spans="2:8">
      <c r="B46" s="302"/>
      <c r="C46" s="302"/>
      <c r="D46" s="302"/>
      <c r="E46" s="302"/>
      <c r="F46" s="302"/>
      <c r="G46" s="302"/>
      <c r="H46" s="302"/>
    </row>
    <row r="47" spans="2:8">
      <c r="B47" s="302"/>
      <c r="C47" s="302"/>
      <c r="D47" s="302"/>
      <c r="E47" s="302"/>
      <c r="F47" s="302"/>
      <c r="G47" s="302"/>
      <c r="H47" s="302"/>
    </row>
    <row r="48" spans="2:8">
      <c r="B48" s="302"/>
      <c r="C48" s="302"/>
      <c r="D48" s="302"/>
      <c r="E48" s="302"/>
      <c r="F48" s="302"/>
      <c r="G48" s="302"/>
      <c r="H48" s="302"/>
    </row>
    <row r="49" spans="2:8" ht="13.8">
      <c r="B49" s="1353" t="s">
        <v>3140</v>
      </c>
      <c r="C49" s="1353"/>
      <c r="D49" s="1353"/>
      <c r="E49" s="1353"/>
      <c r="F49" s="1353"/>
      <c r="G49" s="1353"/>
      <c r="H49" s="1353"/>
    </row>
  </sheetData>
  <sheetProtection algorithmName="SHA-512" hashValue="QKSD+ZkbtJf6s7tafCfHFff4oG8mb5aaNVjJwS3QwEO4hQhuWk/7ml7maIQES+KsWtdbw0FKJ320LgX9HsZMLg==" saltValue="bZnT74asrXqga6zLlZbNdQ=="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0A6F2-5E17-4C1A-8EF8-A10144ADD134}">
  <sheetPr codeName="Sheet251">
    <tabColor theme="7" tint="0.39997558519241921"/>
  </sheetPr>
  <dimension ref="A2:V27"/>
  <sheetViews>
    <sheetView zoomScaleNormal="100" zoomScaleSheetLayoutView="80" workbookViewId="0">
      <selection activeCell="L7" sqref="L7"/>
    </sheetView>
  </sheetViews>
  <sheetFormatPr defaultColWidth="9.109375" defaultRowHeight="13.2"/>
  <cols>
    <col min="1" max="1" width="5.6640625" style="267" customWidth="1"/>
    <col min="2" max="3" width="4.88671875" style="267" customWidth="1"/>
    <col min="4" max="4" width="30.6640625" style="267" customWidth="1"/>
    <col min="5" max="12" width="15.6640625" style="267" customWidth="1"/>
    <col min="13" max="16384" width="9.109375" style="267"/>
  </cols>
  <sheetData>
    <row r="2" spans="1:22" ht="20.399999999999999">
      <c r="B2" s="1363" t="str">
        <f>"ANALYSIS  OF "&amp;UPPER('KEY INPUTS'!D58)&amp;" UTILITY  ASSESSMENT  TRUST  CASH  AND  INVESTMENTS"</f>
        <v>ANALYSIS  OF  UTILITY  ASSESSMENT  TRUST  CASH  AND  INVESTMENTS</v>
      </c>
      <c r="C2" s="1363"/>
      <c r="D2" s="1363"/>
      <c r="E2" s="1363"/>
      <c r="F2" s="1363"/>
      <c r="G2" s="1363"/>
      <c r="H2" s="1363"/>
      <c r="I2" s="1363"/>
      <c r="J2" s="1363"/>
      <c r="K2" s="1363"/>
      <c r="L2" s="1363"/>
    </row>
    <row r="3" spans="1:22" ht="21" thickBot="1">
      <c r="B3" s="1363" t="s">
        <v>830</v>
      </c>
      <c r="C3" s="1363"/>
      <c r="D3" s="1363"/>
      <c r="E3" s="1363"/>
      <c r="F3" s="1363"/>
      <c r="G3" s="1363"/>
      <c r="H3" s="1363"/>
      <c r="I3" s="1363"/>
      <c r="J3" s="1363"/>
      <c r="K3" s="1363"/>
      <c r="L3" s="1363"/>
    </row>
    <row r="4" spans="1:22" ht="13.8" thickTop="1">
      <c r="B4" s="323"/>
      <c r="C4" s="323"/>
      <c r="D4" s="323"/>
      <c r="E4" s="324" t="s">
        <v>528</v>
      </c>
      <c r="F4" s="323"/>
      <c r="G4" s="323"/>
      <c r="H4" s="323"/>
      <c r="I4" s="323"/>
      <c r="J4" s="791"/>
      <c r="K4" s="323"/>
      <c r="L4" s="322"/>
    </row>
    <row r="5" spans="1:22" ht="15.6">
      <c r="C5" s="267" t="s">
        <v>536</v>
      </c>
      <c r="E5" s="320" t="s">
        <v>529</v>
      </c>
      <c r="F5" s="1364" t="s">
        <v>530</v>
      </c>
      <c r="G5" s="1365"/>
      <c r="H5" s="1365"/>
      <c r="I5" s="1366"/>
      <c r="J5" s="792"/>
      <c r="L5" s="321" t="s">
        <v>529</v>
      </c>
    </row>
    <row r="6" spans="1:22">
      <c r="C6" s="267" t="s">
        <v>537</v>
      </c>
      <c r="E6" s="793" t="str">
        <f>IF('KEY INPUTS'!C42 = "State Fiscal Year", 'KEY INPUTS'!F46,'KEY INPUTS'!D46)</f>
        <v>Dec. 31, 2023</v>
      </c>
      <c r="F6" s="320" t="s">
        <v>531</v>
      </c>
      <c r="G6" s="320" t="s">
        <v>248</v>
      </c>
      <c r="H6" s="792"/>
      <c r="I6" s="792"/>
      <c r="J6" s="792"/>
      <c r="K6" s="319" t="s">
        <v>535</v>
      </c>
      <c r="L6" s="794" t="str">
        <f>IF('KEY INPUTS'!C42 = "State Fiscal Year", 'KEY INPUTS'!F47,'KEY INPUTS'!D47)</f>
        <v>Dec. 31, 2024</v>
      </c>
    </row>
    <row r="7" spans="1:22" ht="13.8" thickBot="1">
      <c r="B7" s="318"/>
      <c r="C7" s="318"/>
      <c r="D7" s="318"/>
      <c r="E7" s="316"/>
      <c r="F7" s="317" t="s">
        <v>532</v>
      </c>
      <c r="G7" s="317" t="s">
        <v>534</v>
      </c>
      <c r="H7" s="316"/>
      <c r="I7" s="316"/>
      <c r="J7" s="316"/>
      <c r="K7" s="315"/>
      <c r="L7" s="314"/>
    </row>
    <row r="8" spans="1:22" ht="21" customHeight="1" thickTop="1">
      <c r="B8" s="313" t="s">
        <v>621</v>
      </c>
      <c r="C8" s="313"/>
      <c r="D8" s="795"/>
      <c r="E8" s="757" t="s">
        <v>627</v>
      </c>
      <c r="F8" s="757" t="s">
        <v>627</v>
      </c>
      <c r="G8" s="757" t="s">
        <v>627</v>
      </c>
      <c r="H8" s="757" t="s">
        <v>627</v>
      </c>
      <c r="I8" s="757" t="s">
        <v>627</v>
      </c>
      <c r="J8" s="757" t="s">
        <v>627</v>
      </c>
      <c r="K8" s="757" t="s">
        <v>627</v>
      </c>
      <c r="L8" s="641" t="s">
        <v>627</v>
      </c>
      <c r="P8"/>
      <c r="Q8"/>
      <c r="R8"/>
      <c r="S8"/>
      <c r="T8"/>
      <c r="U8"/>
      <c r="V8"/>
    </row>
    <row r="9" spans="1:22" ht="21" customHeight="1">
      <c r="B9" s="495"/>
      <c r="C9" s="495"/>
      <c r="D9" s="499"/>
      <c r="E9" s="450"/>
      <c r="F9" s="450"/>
      <c r="G9" s="450"/>
      <c r="H9" s="450"/>
      <c r="I9" s="450"/>
      <c r="J9" s="450"/>
      <c r="K9" s="450"/>
      <c r="L9" s="753">
        <f>+E9+F9+G9+H9+I9+J9-K9</f>
        <v>0</v>
      </c>
      <c r="P9"/>
      <c r="Q9"/>
      <c r="R9"/>
      <c r="S9"/>
      <c r="T9"/>
      <c r="U9"/>
      <c r="V9"/>
    </row>
    <row r="10" spans="1:22" ht="21" customHeight="1">
      <c r="B10" s="495"/>
      <c r="C10" s="495"/>
      <c r="D10" s="499"/>
      <c r="E10" s="450"/>
      <c r="F10" s="450"/>
      <c r="G10" s="450"/>
      <c r="H10" s="450"/>
      <c r="I10" s="450"/>
      <c r="J10" s="450"/>
      <c r="K10" s="450"/>
      <c r="L10" s="753">
        <f t="shared" ref="L10:L25" si="0">+E10+F10+G10+H10+I10+J10-K10</f>
        <v>0</v>
      </c>
      <c r="P10" s="294"/>
      <c r="Q10"/>
      <c r="R10"/>
      <c r="S10"/>
      <c r="T10"/>
      <c r="U10"/>
      <c r="V10"/>
    </row>
    <row r="11" spans="1:22" ht="21" customHeight="1">
      <c r="B11" s="495"/>
      <c r="C11" s="495"/>
      <c r="D11" s="499"/>
      <c r="E11" s="450"/>
      <c r="F11" s="450"/>
      <c r="G11" s="450"/>
      <c r="H11" s="450"/>
      <c r="I11" s="450"/>
      <c r="J11" s="450"/>
      <c r="K11" s="450"/>
      <c r="L11" s="753">
        <f t="shared" si="0"/>
        <v>0</v>
      </c>
      <c r="P11"/>
      <c r="Q11"/>
      <c r="R11"/>
      <c r="S11"/>
      <c r="T11"/>
      <c r="U11"/>
      <c r="V11"/>
    </row>
    <row r="12" spans="1:22" ht="21" customHeight="1">
      <c r="B12" s="495"/>
      <c r="C12" s="495"/>
      <c r="D12" s="499"/>
      <c r="E12" s="450"/>
      <c r="F12" s="450"/>
      <c r="G12" s="450"/>
      <c r="H12" s="450"/>
      <c r="I12" s="450"/>
      <c r="J12" s="450"/>
      <c r="K12" s="450"/>
      <c r="L12" s="753">
        <f t="shared" si="0"/>
        <v>0</v>
      </c>
      <c r="P12"/>
      <c r="Q12"/>
      <c r="R12"/>
      <c r="S12"/>
      <c r="T12"/>
      <c r="U12"/>
      <c r="V12"/>
    </row>
    <row r="13" spans="1:22" ht="21" customHeight="1">
      <c r="B13" s="495"/>
      <c r="C13" s="495"/>
      <c r="D13" s="499"/>
      <c r="E13" s="453"/>
      <c r="F13" s="450"/>
      <c r="G13" s="450"/>
      <c r="H13" s="450"/>
      <c r="I13" s="450"/>
      <c r="J13" s="450"/>
      <c r="K13" s="450"/>
      <c r="L13" s="753">
        <f t="shared" si="0"/>
        <v>0</v>
      </c>
      <c r="P13"/>
      <c r="Q13"/>
      <c r="R13"/>
      <c r="S13"/>
      <c r="T13"/>
      <c r="U13"/>
      <c r="V13"/>
    </row>
    <row r="14" spans="1:22" ht="21" customHeight="1">
      <c r="B14" s="248" t="s">
        <v>622</v>
      </c>
      <c r="C14" s="248"/>
      <c r="D14" s="312"/>
      <c r="E14" s="702" t="s">
        <v>627</v>
      </c>
      <c r="F14" s="702" t="s">
        <v>627</v>
      </c>
      <c r="G14" s="702" t="s">
        <v>627</v>
      </c>
      <c r="H14" s="702" t="s">
        <v>627</v>
      </c>
      <c r="I14" s="702" t="s">
        <v>627</v>
      </c>
      <c r="J14" s="702" t="s">
        <v>627</v>
      </c>
      <c r="K14" s="702" t="s">
        <v>627</v>
      </c>
      <c r="L14" s="643" t="s">
        <v>627</v>
      </c>
      <c r="P14"/>
      <c r="Q14"/>
      <c r="R14"/>
      <c r="S14"/>
      <c r="T14"/>
      <c r="U14"/>
      <c r="V14"/>
    </row>
    <row r="15" spans="1:22" ht="21" customHeight="1">
      <c r="A15" s="1367" t="s">
        <v>3141</v>
      </c>
      <c r="B15" s="495"/>
      <c r="C15" s="495"/>
      <c r="D15" s="499"/>
      <c r="E15" s="450"/>
      <c r="F15" s="450"/>
      <c r="G15" s="450"/>
      <c r="H15" s="450"/>
      <c r="I15" s="450"/>
      <c r="J15" s="450"/>
      <c r="K15" s="450"/>
      <c r="L15" s="753">
        <f t="shared" si="0"/>
        <v>0</v>
      </c>
      <c r="P15"/>
      <c r="Q15"/>
      <c r="R15"/>
      <c r="S15"/>
      <c r="T15"/>
      <c r="U15"/>
      <c r="V15"/>
    </row>
    <row r="16" spans="1:22" ht="21" customHeight="1">
      <c r="A16" s="1367"/>
      <c r="B16" s="495"/>
      <c r="C16" s="495"/>
      <c r="D16" s="499"/>
      <c r="E16" s="450"/>
      <c r="F16" s="450"/>
      <c r="G16" s="450"/>
      <c r="H16" s="450"/>
      <c r="I16" s="450"/>
      <c r="J16" s="450"/>
      <c r="K16" s="450"/>
      <c r="L16" s="753">
        <f t="shared" si="0"/>
        <v>0</v>
      </c>
      <c r="P16"/>
      <c r="Q16"/>
      <c r="R16"/>
      <c r="S16"/>
      <c r="T16"/>
      <c r="U16"/>
      <c r="V16"/>
    </row>
    <row r="17" spans="1:22" ht="21" customHeight="1">
      <c r="A17" s="1367"/>
      <c r="B17" s="495"/>
      <c r="C17" s="495"/>
      <c r="D17" s="499"/>
      <c r="E17" s="450"/>
      <c r="F17" s="450"/>
      <c r="G17" s="450"/>
      <c r="H17" s="450"/>
      <c r="I17" s="450"/>
      <c r="J17" s="450"/>
      <c r="K17" s="450"/>
      <c r="L17" s="753">
        <f t="shared" si="0"/>
        <v>0</v>
      </c>
      <c r="P17"/>
      <c r="Q17"/>
      <c r="R17"/>
      <c r="S17"/>
      <c r="T17"/>
      <c r="U17"/>
      <c r="V17"/>
    </row>
    <row r="18" spans="1:22" ht="21" customHeight="1">
      <c r="B18" s="495"/>
      <c r="C18" s="495"/>
      <c r="D18" s="499"/>
      <c r="E18" s="450"/>
      <c r="F18" s="450"/>
      <c r="G18" s="450"/>
      <c r="H18" s="450"/>
      <c r="I18" s="450"/>
      <c r="J18" s="450"/>
      <c r="K18" s="450"/>
      <c r="L18" s="753">
        <f t="shared" si="0"/>
        <v>0</v>
      </c>
      <c r="P18"/>
      <c r="Q18"/>
      <c r="R18"/>
      <c r="S18"/>
      <c r="T18"/>
      <c r="U18"/>
      <c r="V18"/>
    </row>
    <row r="19" spans="1:22" ht="21" customHeight="1">
      <c r="B19" s="248" t="s">
        <v>623</v>
      </c>
      <c r="C19" s="248"/>
      <c r="D19" s="312"/>
      <c r="E19" s="450"/>
      <c r="F19" s="450"/>
      <c r="G19" s="450"/>
      <c r="H19" s="450"/>
      <c r="I19" s="450"/>
      <c r="J19" s="450"/>
      <c r="K19" s="450"/>
      <c r="L19" s="753">
        <f t="shared" si="0"/>
        <v>0</v>
      </c>
      <c r="P19"/>
      <c r="Q19"/>
      <c r="R19"/>
      <c r="S19"/>
      <c r="T19"/>
      <c r="U19"/>
      <c r="V19"/>
    </row>
    <row r="20" spans="1:22" ht="21" customHeight="1">
      <c r="B20" s="248" t="s">
        <v>624</v>
      </c>
      <c r="C20" s="248"/>
      <c r="D20" s="312"/>
      <c r="E20" s="450"/>
      <c r="F20" s="450"/>
      <c r="G20" s="450"/>
      <c r="H20" s="450"/>
      <c r="I20" s="450"/>
      <c r="J20" s="450"/>
      <c r="K20" s="450"/>
      <c r="L20" s="753">
        <f t="shared" si="0"/>
        <v>0</v>
      </c>
      <c r="P20"/>
      <c r="Q20"/>
      <c r="R20"/>
      <c r="S20"/>
      <c r="T20"/>
      <c r="U20"/>
      <c r="V20"/>
    </row>
    <row r="21" spans="1:22" ht="21" customHeight="1">
      <c r="B21" s="248" t="s">
        <v>249</v>
      </c>
      <c r="C21" s="248"/>
      <c r="D21" s="312"/>
      <c r="E21" s="702" t="s">
        <v>627</v>
      </c>
      <c r="F21" s="702" t="s">
        <v>627</v>
      </c>
      <c r="G21" s="702" t="s">
        <v>627</v>
      </c>
      <c r="H21" s="702" t="s">
        <v>627</v>
      </c>
      <c r="I21" s="702" t="s">
        <v>627</v>
      </c>
      <c r="J21" s="702" t="s">
        <v>627</v>
      </c>
      <c r="K21" s="702" t="s">
        <v>627</v>
      </c>
      <c r="L21" s="643" t="s">
        <v>627</v>
      </c>
      <c r="P21"/>
      <c r="Q21"/>
      <c r="R21"/>
      <c r="S21"/>
      <c r="T21"/>
      <c r="U21"/>
      <c r="V21"/>
    </row>
    <row r="22" spans="1:22" ht="21" customHeight="1">
      <c r="B22" s="495"/>
      <c r="C22" s="495"/>
      <c r="D22" s="499"/>
      <c r="E22" s="450"/>
      <c r="F22" s="450"/>
      <c r="G22" s="450"/>
      <c r="H22" s="450"/>
      <c r="I22" s="450"/>
      <c r="J22" s="450"/>
      <c r="K22" s="450"/>
      <c r="L22" s="753">
        <f t="shared" si="0"/>
        <v>0</v>
      </c>
      <c r="P22"/>
      <c r="Q22"/>
      <c r="R22"/>
      <c r="S22"/>
      <c r="T22"/>
      <c r="U22"/>
      <c r="V22"/>
    </row>
    <row r="23" spans="1:22" ht="21" customHeight="1">
      <c r="B23" s="495"/>
      <c r="C23" s="495"/>
      <c r="D23" s="499"/>
      <c r="E23" s="450"/>
      <c r="F23" s="450"/>
      <c r="G23" s="450"/>
      <c r="H23" s="450"/>
      <c r="I23" s="450"/>
      <c r="J23" s="450"/>
      <c r="K23" s="450"/>
      <c r="L23" s="753">
        <f t="shared" si="0"/>
        <v>0</v>
      </c>
      <c r="P23"/>
      <c r="Q23"/>
      <c r="R23"/>
      <c r="S23"/>
      <c r="T23"/>
      <c r="U23"/>
      <c r="V23"/>
    </row>
    <row r="24" spans="1:22" ht="21" customHeight="1">
      <c r="B24" s="495"/>
      <c r="C24" s="495"/>
      <c r="D24" s="499"/>
      <c r="E24" s="450"/>
      <c r="F24" s="450"/>
      <c r="G24" s="450"/>
      <c r="H24" s="450"/>
      <c r="I24" s="450"/>
      <c r="J24" s="450"/>
      <c r="K24" s="450"/>
      <c r="L24" s="753">
        <f t="shared" si="0"/>
        <v>0</v>
      </c>
      <c r="P24"/>
      <c r="Q24"/>
      <c r="R24"/>
      <c r="S24"/>
      <c r="T24"/>
      <c r="U24"/>
      <c r="V24"/>
    </row>
    <row r="25" spans="1:22" ht="21" customHeight="1" thickBot="1">
      <c r="B25" s="495"/>
      <c r="C25" s="495"/>
      <c r="D25" s="499"/>
      <c r="E25" s="475"/>
      <c r="F25" s="475"/>
      <c r="G25" s="475"/>
      <c r="H25" s="475"/>
      <c r="I25" s="475"/>
      <c r="J25" s="475"/>
      <c r="K25" s="475"/>
      <c r="L25" s="796">
        <f t="shared" si="0"/>
        <v>0</v>
      </c>
    </row>
    <row r="26" spans="1:22" ht="21" customHeight="1" thickTop="1" thickBot="1">
      <c r="B26" s="311"/>
      <c r="C26" s="311"/>
      <c r="D26" s="310"/>
      <c r="E26" s="755">
        <f t="shared" ref="E26:K26" si="1">SUM(E9:E25)</f>
        <v>0</v>
      </c>
      <c r="F26" s="755">
        <f t="shared" si="1"/>
        <v>0</v>
      </c>
      <c r="G26" s="755">
        <f t="shared" si="1"/>
        <v>0</v>
      </c>
      <c r="H26" s="755">
        <f t="shared" si="1"/>
        <v>0</v>
      </c>
      <c r="I26" s="755">
        <f t="shared" si="1"/>
        <v>0</v>
      </c>
      <c r="J26" s="755">
        <f t="shared" si="1"/>
        <v>0</v>
      </c>
      <c r="K26" s="755">
        <f t="shared" si="1"/>
        <v>0</v>
      </c>
      <c r="L26" s="797">
        <f>SUM(L9:L25)</f>
        <v>0</v>
      </c>
    </row>
    <row r="27" spans="1:22" ht="13.8" thickTop="1">
      <c r="B27" s="309" t="s">
        <v>626</v>
      </c>
    </row>
  </sheetData>
  <sheetProtection algorithmName="SHA-512" hashValue="ypcYssd+QyHyMIfUICVeHElDuH7wJ3Vxcl8H72ZqFOO9lhfv0WksfN+uGlTlk8Ffs3X76A3MkPHtytVAhlnCTw==" saltValue="BzDGHgoY1Qn14GAqvyNBag==" spinCount="100000"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FB527-4855-4F9E-AD74-A52779F80A48}">
  <sheetPr codeName="Sheet252">
    <tabColor theme="7" tint="0.39997558519241921"/>
  </sheetPr>
  <dimension ref="B2:T55"/>
  <sheetViews>
    <sheetView topLeftCell="A13" zoomScaleNormal="100" zoomScaleSheetLayoutView="80" workbookViewId="0">
      <selection activeCell="J33" sqref="J33"/>
    </sheetView>
  </sheetViews>
  <sheetFormatPr defaultColWidth="8.88671875" defaultRowHeight="13.2"/>
  <cols>
    <col min="1" max="1" width="4.6640625" style="267" customWidth="1"/>
    <col min="2" max="3" width="3.6640625" style="267" customWidth="1"/>
    <col min="4" max="4" width="4.6640625" style="267" customWidth="1"/>
    <col min="5" max="5" width="8.88671875" style="267"/>
    <col min="6" max="6" width="16.6640625" style="267" customWidth="1"/>
    <col min="7" max="7" width="8.6640625" style="267" customWidth="1"/>
    <col min="8" max="10" width="16.6640625" style="267" customWidth="1"/>
    <col min="11" max="11" width="8.88671875" style="267"/>
    <col min="12" max="12" width="11.33203125" style="267" bestFit="1" customWidth="1"/>
    <col min="13" max="16384" width="8.88671875" style="267"/>
  </cols>
  <sheetData>
    <row r="2" spans="2:20" ht="22.8">
      <c r="B2" s="1358" t="str">
        <f>"SCHEDULE OF "&amp;UPPER('KEY INPUTS'!D58)&amp;" UTILITY BUDGET  -  "&amp;IF('KEY INPUTS'!C42="State Fiscal Year","FY "&amp;'KEY INPUTS'!D33&amp;"",'KEY INPUTS'!D34)&amp;""</f>
        <v>SCHEDULE OF  UTILITY BUDGET  -  2024</v>
      </c>
      <c r="C2" s="1358"/>
      <c r="D2" s="1358"/>
      <c r="E2" s="1358"/>
      <c r="F2" s="1358"/>
      <c r="G2" s="1358"/>
      <c r="H2" s="1358"/>
      <c r="I2" s="1358"/>
      <c r="J2" s="1358"/>
    </row>
    <row r="3" spans="2:20" ht="12" customHeight="1">
      <c r="B3" s="354"/>
      <c r="C3" s="354"/>
      <c r="D3" s="354"/>
      <c r="E3" s="354"/>
      <c r="F3" s="354"/>
      <c r="G3" s="354"/>
      <c r="H3" s="354"/>
      <c r="I3" s="354"/>
      <c r="J3" s="354"/>
    </row>
    <row r="4" spans="2:20" ht="17.25" customHeight="1" thickBot="1">
      <c r="B4" s="1372" t="s">
        <v>831</v>
      </c>
      <c r="C4" s="1372"/>
      <c r="D4" s="1372"/>
      <c r="E4" s="1372"/>
      <c r="F4" s="1372"/>
      <c r="G4" s="1372"/>
      <c r="H4" s="1372"/>
      <c r="I4" s="1372"/>
      <c r="J4" s="1372"/>
    </row>
    <row r="5" spans="2:20" ht="13.8" thickTop="1">
      <c r="B5" s="1368" t="s">
        <v>165</v>
      </c>
      <c r="C5" s="1368"/>
      <c r="D5" s="1368"/>
      <c r="E5" s="1368"/>
      <c r="F5" s="1368"/>
      <c r="G5" s="1369"/>
      <c r="H5" s="324" t="s">
        <v>534</v>
      </c>
      <c r="I5" s="324" t="s">
        <v>637</v>
      </c>
      <c r="J5" s="353" t="s">
        <v>319</v>
      </c>
    </row>
    <row r="6" spans="2:20" ht="13.8" thickBot="1">
      <c r="B6" s="1370"/>
      <c r="C6" s="1370"/>
      <c r="D6" s="1370"/>
      <c r="E6" s="1370"/>
      <c r="F6" s="1370"/>
      <c r="G6" s="1371"/>
      <c r="H6" s="352"/>
      <c r="I6" s="352" t="s">
        <v>318</v>
      </c>
      <c r="J6" s="351" t="s">
        <v>320</v>
      </c>
    </row>
    <row r="7" spans="2:20" ht="21" customHeight="1" thickTop="1">
      <c r="B7" s="313" t="s">
        <v>3154</v>
      </c>
      <c r="C7" s="313"/>
      <c r="D7" s="313"/>
      <c r="E7" s="313"/>
      <c r="F7" s="313"/>
      <c r="G7" s="350"/>
      <c r="H7" s="454"/>
      <c r="I7" s="887">
        <f>H7</f>
        <v>0</v>
      </c>
      <c r="J7" s="827">
        <f>+I7-H7</f>
        <v>0</v>
      </c>
    </row>
    <row r="8" spans="2:20" ht="10.5" customHeight="1">
      <c r="B8" s="309" t="s">
        <v>3153</v>
      </c>
      <c r="G8" s="347"/>
      <c r="H8" s="886"/>
      <c r="I8" s="886"/>
      <c r="J8" s="776"/>
    </row>
    <row r="9" spans="2:20">
      <c r="B9" s="333" t="s">
        <v>168</v>
      </c>
      <c r="C9" s="333"/>
      <c r="D9" s="333"/>
      <c r="E9" s="333"/>
      <c r="F9" s="333"/>
      <c r="G9" s="341"/>
      <c r="H9" s="500"/>
      <c r="I9" s="500"/>
      <c r="J9" s="638">
        <f t="shared" ref="J9:J15" si="0">+I9-H9</f>
        <v>0</v>
      </c>
    </row>
    <row r="10" spans="2:20" ht="21" customHeight="1">
      <c r="B10" s="495"/>
      <c r="C10" s="495"/>
      <c r="D10" s="495"/>
      <c r="E10" s="495"/>
      <c r="F10" s="495"/>
      <c r="G10" s="798"/>
      <c r="H10" s="596"/>
      <c r="I10" s="596"/>
      <c r="J10" s="888">
        <f t="shared" si="0"/>
        <v>0</v>
      </c>
      <c r="N10"/>
      <c r="O10"/>
      <c r="P10"/>
      <c r="Q10"/>
      <c r="R10"/>
      <c r="S10"/>
      <c r="T10"/>
    </row>
    <row r="11" spans="2:20" ht="21" customHeight="1">
      <c r="B11" s="495"/>
      <c r="C11" s="495"/>
      <c r="D11" s="495"/>
      <c r="E11" s="495"/>
      <c r="F11" s="495"/>
      <c r="G11" s="798"/>
      <c r="H11" s="596"/>
      <c r="I11" s="596"/>
      <c r="J11" s="780">
        <f t="shared" si="0"/>
        <v>0</v>
      </c>
      <c r="N11"/>
      <c r="O11"/>
      <c r="P11"/>
      <c r="Q11"/>
      <c r="R11"/>
      <c r="S11"/>
      <c r="T11"/>
    </row>
    <row r="12" spans="2:20" ht="21" customHeight="1">
      <c r="B12" s="495"/>
      <c r="C12" s="495"/>
      <c r="D12" s="495"/>
      <c r="E12" s="495"/>
      <c r="F12" s="495"/>
      <c r="G12" s="798"/>
      <c r="H12" s="596"/>
      <c r="I12" s="596"/>
      <c r="J12" s="780">
        <f t="shared" si="0"/>
        <v>0</v>
      </c>
      <c r="N12" s="294"/>
      <c r="O12"/>
      <c r="P12"/>
      <c r="Q12"/>
      <c r="R12"/>
      <c r="S12"/>
      <c r="T12"/>
    </row>
    <row r="13" spans="2:20" ht="21" customHeight="1">
      <c r="B13" s="495"/>
      <c r="C13" s="495"/>
      <c r="D13" s="495"/>
      <c r="E13" s="495"/>
      <c r="F13" s="495"/>
      <c r="G13" s="798"/>
      <c r="H13" s="596"/>
      <c r="I13" s="596"/>
      <c r="J13" s="780">
        <f t="shared" si="0"/>
        <v>0</v>
      </c>
      <c r="N13"/>
      <c r="O13"/>
      <c r="P13"/>
      <c r="Q13"/>
      <c r="R13"/>
      <c r="S13"/>
      <c r="T13"/>
    </row>
    <row r="14" spans="2:20" ht="21" customHeight="1">
      <c r="B14" s="495"/>
      <c r="C14" s="495"/>
      <c r="D14" s="495"/>
      <c r="E14" s="495"/>
      <c r="F14" s="495"/>
      <c r="G14" s="798"/>
      <c r="H14" s="596"/>
      <c r="I14" s="596"/>
      <c r="J14" s="780">
        <f t="shared" si="0"/>
        <v>0</v>
      </c>
      <c r="N14"/>
      <c r="O14"/>
      <c r="P14"/>
      <c r="Q14"/>
      <c r="R14"/>
      <c r="S14"/>
      <c r="T14"/>
    </row>
    <row r="15" spans="2:20" ht="21" customHeight="1">
      <c r="B15" s="248" t="s">
        <v>3152</v>
      </c>
      <c r="C15" s="248"/>
      <c r="D15" s="248"/>
      <c r="E15" s="248"/>
      <c r="F15" s="248"/>
      <c r="G15" s="341"/>
      <c r="H15" s="596"/>
      <c r="I15" s="596"/>
      <c r="J15" s="780">
        <f t="shared" si="0"/>
        <v>0</v>
      </c>
      <c r="N15"/>
      <c r="O15"/>
      <c r="P15"/>
      <c r="Q15"/>
      <c r="R15"/>
      <c r="S15"/>
      <c r="T15"/>
    </row>
    <row r="16" spans="2:20" ht="21" customHeight="1">
      <c r="B16" s="248" t="s">
        <v>3151</v>
      </c>
      <c r="C16" s="248"/>
      <c r="D16" s="248"/>
      <c r="E16" s="248"/>
      <c r="F16" s="248"/>
      <c r="G16" s="341"/>
      <c r="H16" s="596"/>
      <c r="I16" s="596"/>
      <c r="J16" s="780"/>
      <c r="N16"/>
      <c r="O16"/>
      <c r="P16"/>
      <c r="Q16"/>
      <c r="R16"/>
      <c r="S16"/>
      <c r="T16"/>
    </row>
    <row r="17" spans="2:20" ht="21" customHeight="1">
      <c r="B17" s="248" t="s">
        <v>3570</v>
      </c>
      <c r="C17" s="248"/>
      <c r="D17" s="248"/>
      <c r="E17" s="248"/>
      <c r="F17" s="248"/>
      <c r="G17" s="341"/>
      <c r="H17" s="804" t="s">
        <v>627</v>
      </c>
      <c r="I17" s="804" t="s">
        <v>627</v>
      </c>
      <c r="J17" s="885" t="s">
        <v>627</v>
      </c>
      <c r="N17"/>
      <c r="O17"/>
      <c r="P17"/>
      <c r="Q17"/>
      <c r="R17"/>
      <c r="S17"/>
      <c r="T17"/>
    </row>
    <row r="18" spans="2:20" ht="21" customHeight="1">
      <c r="B18" s="495"/>
      <c r="C18" s="495"/>
      <c r="D18" s="495"/>
      <c r="E18" s="495"/>
      <c r="F18" s="495"/>
      <c r="G18" s="495"/>
      <c r="H18" s="450"/>
      <c r="I18" s="450"/>
      <c r="J18" s="780">
        <f>I18-H18</f>
        <v>0</v>
      </c>
      <c r="N18"/>
      <c r="O18"/>
      <c r="P18"/>
      <c r="Q18"/>
      <c r="R18"/>
      <c r="S18"/>
      <c r="T18"/>
    </row>
    <row r="19" spans="2:20" ht="21" customHeight="1" thickBot="1">
      <c r="B19" s="495"/>
      <c r="C19" s="495"/>
      <c r="D19" s="495"/>
      <c r="E19" s="495"/>
      <c r="F19" s="495"/>
      <c r="G19" s="495"/>
      <c r="H19" s="475"/>
      <c r="I19" s="475"/>
      <c r="J19" s="989">
        <f>I19-H19</f>
        <v>0</v>
      </c>
      <c r="N19"/>
      <c r="O19"/>
      <c r="P19"/>
      <c r="Q19"/>
      <c r="R19"/>
      <c r="S19"/>
      <c r="T19"/>
    </row>
    <row r="20" spans="2:20" ht="21" customHeight="1" thickTop="1">
      <c r="B20" s="248"/>
      <c r="C20" s="248"/>
      <c r="D20" s="248" t="s">
        <v>317</v>
      </c>
      <c r="E20" s="248"/>
      <c r="F20" s="248"/>
      <c r="G20" s="344"/>
      <c r="H20" s="890">
        <f>SUM(H7:H19)</f>
        <v>0</v>
      </c>
      <c r="I20" s="890">
        <f>SUM(I7:I19)</f>
        <v>0</v>
      </c>
      <c r="J20" s="638">
        <f>SUM(J7:J19)</f>
        <v>0</v>
      </c>
      <c r="N20"/>
      <c r="O20"/>
      <c r="P20"/>
      <c r="Q20"/>
      <c r="R20"/>
      <c r="S20"/>
      <c r="T20"/>
    </row>
    <row r="21" spans="2:20" ht="21" customHeight="1" thickBot="1">
      <c r="B21" s="248" t="s">
        <v>3150</v>
      </c>
      <c r="C21" s="342"/>
      <c r="D21" s="342"/>
      <c r="E21" s="248"/>
      <c r="F21" s="248"/>
      <c r="G21" s="341"/>
      <c r="H21" s="501"/>
      <c r="I21" s="501"/>
      <c r="J21" s="776">
        <f>I21-H21</f>
        <v>0</v>
      </c>
      <c r="N21"/>
      <c r="O21"/>
      <c r="P21"/>
      <c r="Q21"/>
      <c r="R21"/>
      <c r="S21"/>
      <c r="T21"/>
    </row>
    <row r="22" spans="2:20" ht="21" customHeight="1" thickTop="1" thickBot="1">
      <c r="G22" s="340"/>
      <c r="H22" s="891">
        <f>+H20+H21</f>
        <v>0</v>
      </c>
      <c r="I22" s="891">
        <f>+I20+I21</f>
        <v>0</v>
      </c>
      <c r="J22" s="889">
        <f>+J20+J21</f>
        <v>0</v>
      </c>
      <c r="L22" s="301" t="s">
        <v>3131</v>
      </c>
      <c r="N22"/>
      <c r="O22"/>
      <c r="P22"/>
      <c r="Q22"/>
      <c r="R22"/>
      <c r="S22"/>
      <c r="T22"/>
    </row>
    <row r="23" spans="2:20" ht="13.8" thickTop="1">
      <c r="B23" s="309" t="s">
        <v>3149</v>
      </c>
      <c r="N23"/>
      <c r="O23"/>
      <c r="P23"/>
      <c r="Q23"/>
      <c r="R23"/>
      <c r="S23"/>
      <c r="T23"/>
    </row>
    <row r="24" spans="2:20">
      <c r="B24" s="309" t="s">
        <v>3148</v>
      </c>
      <c r="N24"/>
      <c r="O24"/>
      <c r="P24"/>
      <c r="Q24"/>
      <c r="R24"/>
      <c r="S24"/>
      <c r="T24"/>
    </row>
    <row r="25" spans="2:20">
      <c r="N25"/>
      <c r="O25"/>
      <c r="P25"/>
      <c r="Q25"/>
      <c r="R25"/>
      <c r="S25"/>
      <c r="T25"/>
    </row>
    <row r="26" spans="2:20">
      <c r="N26"/>
      <c r="O26"/>
      <c r="P26"/>
      <c r="Q26"/>
      <c r="R26"/>
      <c r="S26"/>
      <c r="T26"/>
    </row>
    <row r="27" spans="2:20" ht="17.25" customHeight="1" thickBot="1">
      <c r="B27" s="1372" t="s">
        <v>321</v>
      </c>
      <c r="C27" s="1372"/>
      <c r="D27" s="1372"/>
      <c r="E27" s="1372"/>
      <c r="F27" s="1372"/>
      <c r="G27" s="1372"/>
      <c r="H27" s="1372"/>
      <c r="I27" s="1372"/>
      <c r="J27" s="1372"/>
    </row>
    <row r="28" spans="2:20" ht="21" customHeight="1" thickTop="1">
      <c r="B28" s="337" t="s">
        <v>322</v>
      </c>
      <c r="C28" s="313"/>
      <c r="D28" s="313"/>
      <c r="E28" s="313"/>
      <c r="F28" s="313"/>
      <c r="G28" s="313"/>
      <c r="H28" s="313"/>
      <c r="I28" s="892"/>
      <c r="J28" s="893" t="s">
        <v>627</v>
      </c>
    </row>
    <row r="29" spans="2:20" ht="21" customHeight="1">
      <c r="B29" s="334"/>
      <c r="C29" s="333" t="s">
        <v>174</v>
      </c>
      <c r="D29" s="333"/>
      <c r="E29" s="333"/>
      <c r="F29" s="333"/>
      <c r="G29" s="333"/>
      <c r="H29" s="333"/>
      <c r="I29" s="894"/>
      <c r="J29" s="502"/>
    </row>
    <row r="30" spans="2:20" ht="21" customHeight="1">
      <c r="B30" s="334"/>
      <c r="C30" s="333" t="s">
        <v>3571</v>
      </c>
      <c r="D30" s="333"/>
      <c r="E30" s="333"/>
      <c r="F30" s="333"/>
      <c r="G30" s="333"/>
      <c r="H30" s="333"/>
      <c r="I30" s="894"/>
      <c r="J30" s="502"/>
    </row>
    <row r="31" spans="2:20" ht="21" customHeight="1" thickBot="1">
      <c r="B31" s="334"/>
      <c r="C31" s="333" t="s">
        <v>323</v>
      </c>
      <c r="D31" s="333"/>
      <c r="E31" s="333"/>
      <c r="F31" s="333"/>
      <c r="G31" s="333"/>
      <c r="H31" s="333"/>
      <c r="I31" s="894"/>
      <c r="J31" s="503"/>
    </row>
    <row r="32" spans="2:20" ht="21" customHeight="1" thickTop="1">
      <c r="B32" s="334" t="s">
        <v>324</v>
      </c>
      <c r="C32" s="333"/>
      <c r="D32" s="333"/>
      <c r="E32" s="333"/>
      <c r="F32" s="333"/>
      <c r="G32" s="333"/>
      <c r="H32" s="333"/>
      <c r="I32" s="895"/>
      <c r="J32" s="896">
        <f>SUM(J29:J31)</f>
        <v>0</v>
      </c>
    </row>
    <row r="33" spans="2:13" ht="21" customHeight="1" thickBot="1">
      <c r="B33" s="334" t="s">
        <v>325</v>
      </c>
      <c r="C33" s="333"/>
      <c r="D33" s="333"/>
      <c r="E33" s="333"/>
      <c r="F33" s="333"/>
      <c r="G33" s="333"/>
      <c r="H33" s="333"/>
      <c r="I33" s="895"/>
      <c r="J33" s="503"/>
    </row>
    <row r="34" spans="2:13" ht="21" customHeight="1" thickTop="1">
      <c r="B34" s="334" t="s">
        <v>726</v>
      </c>
      <c r="C34" s="333"/>
      <c r="D34" s="333"/>
      <c r="E34" s="333"/>
      <c r="F34" s="333"/>
      <c r="G34" s="333"/>
      <c r="H34" s="333"/>
      <c r="I34" s="895"/>
      <c r="J34" s="896">
        <f>+J32+J33</f>
        <v>0</v>
      </c>
    </row>
    <row r="35" spans="2:13" ht="21" customHeight="1">
      <c r="B35" s="334" t="s">
        <v>326</v>
      </c>
      <c r="C35" s="333"/>
      <c r="D35" s="333"/>
      <c r="E35" s="333"/>
      <c r="F35" s="333"/>
      <c r="G35" s="333"/>
      <c r="H35" s="333"/>
      <c r="I35" s="895"/>
      <c r="J35" s="897"/>
    </row>
    <row r="36" spans="2:13" ht="21" customHeight="1">
      <c r="B36" s="248"/>
      <c r="C36" s="248" t="s">
        <v>593</v>
      </c>
      <c r="D36" s="248"/>
      <c r="E36" s="248"/>
      <c r="F36" s="248"/>
      <c r="G36" s="248"/>
      <c r="H36" s="248"/>
      <c r="I36" s="504"/>
      <c r="J36" s="898"/>
    </row>
    <row r="37" spans="2:13" ht="21" customHeight="1">
      <c r="B37" s="248"/>
      <c r="C37" s="248" t="s">
        <v>730</v>
      </c>
      <c r="D37" s="248"/>
      <c r="E37" s="248"/>
      <c r="F37" s="248"/>
      <c r="G37" s="248"/>
      <c r="H37" s="248"/>
      <c r="I37" s="504"/>
      <c r="J37" s="898"/>
    </row>
    <row r="38" spans="2:13" ht="21" customHeight="1" thickBot="1">
      <c r="B38" s="248" t="s">
        <v>327</v>
      </c>
      <c r="C38" s="248"/>
      <c r="D38" s="248"/>
      <c r="E38" s="248"/>
      <c r="F38" s="248"/>
      <c r="G38" s="248"/>
      <c r="H38" s="248"/>
      <c r="I38" s="505"/>
      <c r="J38" s="502"/>
      <c r="M38" s="301"/>
    </row>
    <row r="39" spans="2:13" ht="21" customHeight="1" thickTop="1" thickBot="1">
      <c r="B39" s="248" t="s">
        <v>731</v>
      </c>
      <c r="C39" s="248"/>
      <c r="D39" s="248"/>
      <c r="E39" s="248"/>
      <c r="F39" s="248"/>
      <c r="G39" s="248"/>
      <c r="H39" s="248"/>
      <c r="I39" s="899"/>
      <c r="J39" s="901">
        <f>SUM(I36:I38)</f>
        <v>0</v>
      </c>
    </row>
    <row r="40" spans="2:13" ht="21" customHeight="1" thickTop="1" thickBot="1">
      <c r="B40" s="248" t="s">
        <v>328</v>
      </c>
      <c r="C40" s="248"/>
      <c r="D40" s="248"/>
      <c r="E40" s="248"/>
      <c r="F40" s="248"/>
      <c r="G40" s="248"/>
      <c r="H40" s="248"/>
      <c r="I40" s="900"/>
      <c r="J40" s="902">
        <f>+J34-J39</f>
        <v>0</v>
      </c>
      <c r="K40" s="301"/>
    </row>
    <row r="41" spans="2:13" ht="13.8" thickTop="1"/>
    <row r="42" spans="2:13">
      <c r="B42" s="309" t="s">
        <v>3147</v>
      </c>
      <c r="C42" s="309"/>
      <c r="D42" s="309"/>
      <c r="E42" s="309"/>
      <c r="F42" s="309"/>
    </row>
    <row r="43" spans="2:13">
      <c r="B43" s="309"/>
      <c r="C43" s="309" t="s">
        <v>3146</v>
      </c>
      <c r="D43" s="309"/>
      <c r="E43" s="309"/>
      <c r="F43" s="309"/>
    </row>
    <row r="44" spans="2:13">
      <c r="B44" s="309"/>
      <c r="C44" s="309"/>
      <c r="D44" s="309" t="s">
        <v>3145</v>
      </c>
      <c r="E44" s="309"/>
      <c r="F44" s="309"/>
      <c r="M44" s="301"/>
    </row>
    <row r="45" spans="2:13">
      <c r="B45" s="309"/>
      <c r="C45" s="309" t="s">
        <v>39</v>
      </c>
      <c r="D45" s="309"/>
      <c r="E45" s="309"/>
      <c r="F45" s="309"/>
    </row>
    <row r="46" spans="2:13">
      <c r="B46" s="309"/>
      <c r="C46" s="309" t="s">
        <v>3144</v>
      </c>
      <c r="D46" s="309"/>
      <c r="E46" s="309"/>
      <c r="F46" s="309"/>
    </row>
    <row r="47" spans="2:13">
      <c r="B47" s="309"/>
      <c r="C47" s="309"/>
      <c r="D47" s="309" t="s">
        <v>3143</v>
      </c>
      <c r="E47" s="309"/>
      <c r="F47" s="309"/>
    </row>
    <row r="48" spans="2:13">
      <c r="B48" s="309"/>
      <c r="C48" s="309"/>
      <c r="D48" s="309"/>
      <c r="E48" s="309"/>
      <c r="F48" s="309"/>
    </row>
    <row r="55" spans="2:10" ht="13.8">
      <c r="B55" s="1353" t="s">
        <v>3142</v>
      </c>
      <c r="C55" s="1353"/>
      <c r="D55" s="1353"/>
      <c r="E55" s="1353"/>
      <c r="F55" s="1353"/>
      <c r="G55" s="1353"/>
      <c r="H55" s="1353"/>
      <c r="I55" s="1353"/>
      <c r="J55" s="1353"/>
    </row>
  </sheetData>
  <sheetProtection algorithmName="SHA-512" hashValue="M1cQdKTa51jPIZxZ8HM1H+LgHQpybjjpol2wQTh0opcBwtQFrs82WvDH9epWbRlUvj1IzN28tyL/LnD2A4fiQw==" saltValue="1FUc94dDFcVWsAIehJhHpA=="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B5485-92AA-4F29-A645-7DC0E2117AC8}">
  <sheetPr codeName="Sheet253">
    <tabColor theme="7" tint="0.39997558519241921"/>
  </sheetPr>
  <dimension ref="B3:T57"/>
  <sheetViews>
    <sheetView topLeftCell="A34" zoomScaleNormal="100" zoomScaleSheetLayoutView="80" workbookViewId="0">
      <selection activeCell="E50" sqref="E50"/>
    </sheetView>
  </sheetViews>
  <sheetFormatPr defaultColWidth="8.88671875" defaultRowHeight="13.2"/>
  <cols>
    <col min="1" max="1" width="4.6640625" style="267" customWidth="1"/>
    <col min="2" max="2" width="6.109375" style="267" customWidth="1"/>
    <col min="3" max="3" width="3.33203125" style="267" customWidth="1"/>
    <col min="4" max="4" width="2.6640625" style="267" customWidth="1"/>
    <col min="5" max="5" width="8.88671875" style="267"/>
    <col min="6" max="6" width="5.88671875" style="267" customWidth="1"/>
    <col min="7" max="7" width="8.88671875" style="267"/>
    <col min="8" max="8" width="16" style="267" customWidth="1"/>
    <col min="9" max="9" width="8.88671875" style="267"/>
    <col min="10" max="11" width="16.6640625" style="267" customWidth="1"/>
    <col min="12" max="12" width="8.88671875" style="267"/>
    <col min="13" max="13" width="11.33203125" style="267" customWidth="1"/>
    <col min="14" max="16384" width="8.88671875" style="267"/>
  </cols>
  <sheetData>
    <row r="3" spans="2:20" ht="22.8">
      <c r="B3" s="1358" t="str">
        <f>"STATEMENT  OF  "&amp;IF('KEY INPUTS'!C42="State Fiscal Year","FISCAL  YEAR  "&amp;'KEY INPUTS'!D33&amp;"",'KEY INPUTS'!D34)&amp;"  OPERATION"</f>
        <v>STATEMENT  OF  2024  OPERATION</v>
      </c>
      <c r="C3" s="1358"/>
      <c r="D3" s="1358"/>
      <c r="E3" s="1358"/>
      <c r="F3" s="1358"/>
      <c r="G3" s="1358"/>
      <c r="H3" s="1358"/>
      <c r="I3" s="1358"/>
      <c r="J3" s="1358"/>
      <c r="K3" s="1358"/>
    </row>
    <row r="5" spans="2:20" ht="20.399999999999999">
      <c r="B5" s="1363" t="str">
        <f>UPPER('KEY INPUTS'!D58)&amp;" UTILITY"</f>
        <v xml:space="preserve"> UTILITY</v>
      </c>
      <c r="C5" s="1363"/>
      <c r="D5" s="1363"/>
      <c r="E5" s="1363"/>
      <c r="F5" s="1363"/>
      <c r="G5" s="1363"/>
      <c r="H5" s="1363"/>
      <c r="I5" s="1363"/>
      <c r="J5" s="1363"/>
      <c r="K5" s="1363"/>
    </row>
    <row r="8" spans="2:20">
      <c r="B8" s="267" t="s">
        <v>313</v>
      </c>
      <c r="C8" s="267" t="str">
        <f>"Section 1 of this sheet is required to be filled out ONLY IF the "&amp;IF('KEY INPUTS'!C42="State Fiscal Year","Fiscal Year "&amp;'KEY INPUTS'!D33&amp;"",'KEY INPUTS'!D34)&amp;" "&amp;PROPER('KEY INPUTS'!D58)&amp;" Utility Budget contained"</f>
        <v>Section 1 of this sheet is required to be filled out ONLY IF the 2024  Utility Budget contained</v>
      </c>
    </row>
    <row r="9" spans="2:20">
      <c r="C9" s="267" t="s">
        <v>329</v>
      </c>
    </row>
    <row r="10" spans="2:20">
      <c r="C10" s="267" t="s">
        <v>330</v>
      </c>
    </row>
    <row r="11" spans="2:20">
      <c r="C11" s="799" t="s">
        <v>3158</v>
      </c>
    </row>
    <row r="13" spans="2:20" ht="17.399999999999999">
      <c r="B13" s="800" t="s">
        <v>331</v>
      </c>
    </row>
    <row r="14" spans="2:20" ht="13.8" thickBot="1">
      <c r="B14" s="318"/>
      <c r="C14" s="318"/>
      <c r="D14" s="318"/>
      <c r="E14" s="318"/>
      <c r="F14" s="318"/>
      <c r="G14" s="318"/>
      <c r="H14" s="318"/>
      <c r="I14" s="318"/>
      <c r="J14" s="318"/>
      <c r="K14" s="318"/>
    </row>
    <row r="15" spans="2:20" ht="21" customHeight="1" thickTop="1">
      <c r="B15" s="313" t="s">
        <v>332</v>
      </c>
      <c r="C15" s="313"/>
      <c r="D15" s="313"/>
      <c r="E15" s="313"/>
      <c r="F15" s="313"/>
      <c r="G15" s="313"/>
      <c r="H15" s="313"/>
      <c r="I15" s="313"/>
      <c r="J15" s="801" t="s">
        <v>627</v>
      </c>
      <c r="K15" s="628"/>
      <c r="N15"/>
      <c r="O15"/>
      <c r="P15"/>
      <c r="Q15"/>
      <c r="R15"/>
      <c r="S15"/>
      <c r="T15"/>
    </row>
    <row r="16" spans="2:20" ht="21" customHeight="1">
      <c r="B16" s="248"/>
      <c r="C16" s="248" t="s">
        <v>333</v>
      </c>
      <c r="D16" s="248"/>
      <c r="E16" s="248"/>
      <c r="F16" s="248"/>
      <c r="G16" s="248"/>
      <c r="H16" s="248"/>
      <c r="I16" s="248"/>
      <c r="J16" s="629">
        <f>+'44-Utility5'!I20</f>
        <v>0</v>
      </c>
      <c r="K16" s="628"/>
      <c r="N16"/>
      <c r="O16"/>
      <c r="P16"/>
      <c r="Q16"/>
      <c r="R16"/>
      <c r="S16"/>
      <c r="T16"/>
    </row>
    <row r="17" spans="2:20" ht="21" customHeight="1">
      <c r="B17" s="248"/>
      <c r="C17" s="248" t="s">
        <v>334</v>
      </c>
      <c r="D17" s="248"/>
      <c r="E17" s="248"/>
      <c r="F17" s="248"/>
      <c r="G17" s="248"/>
      <c r="H17" s="248"/>
      <c r="I17" s="248"/>
      <c r="J17" s="426"/>
      <c r="K17" s="628"/>
      <c r="N17" s="294"/>
      <c r="O17"/>
      <c r="P17"/>
      <c r="Q17"/>
      <c r="R17"/>
      <c r="S17"/>
      <c r="T17"/>
    </row>
    <row r="18" spans="2:20" ht="21" customHeight="1">
      <c r="B18" s="248"/>
      <c r="C18" s="248" t="str">
        <f>IF('KEY INPUTS'!C42="State Fiscal Year","FY "&amp;'KEY INPUTS'!D33-1&amp;"",'KEY INPUTS'!D34-1)&amp;" Appropriation Reserves Canceled in "&amp;IF('KEY INPUTS'!C42="State Fiscal Year","FY "&amp;'KEY INPUTS'!D33&amp;"",'KEY INPUTS'!D34)</f>
        <v>2023 Appropriation Reserves Canceled in 2024</v>
      </c>
      <c r="D18" s="802"/>
      <c r="E18" s="802"/>
      <c r="F18" s="802"/>
      <c r="G18" s="802"/>
      <c r="H18" s="248"/>
      <c r="I18" s="248"/>
      <c r="J18" s="291"/>
      <c r="K18" s="628"/>
      <c r="N18"/>
      <c r="O18"/>
      <c r="P18"/>
      <c r="Q18"/>
      <c r="R18"/>
      <c r="S18"/>
      <c r="T18"/>
    </row>
    <row r="19" spans="2:20" ht="21" customHeight="1">
      <c r="B19" s="248"/>
      <c r="C19" s="495"/>
      <c r="D19" s="495"/>
      <c r="E19" s="495"/>
      <c r="F19" s="495"/>
      <c r="G19" s="495"/>
      <c r="H19" s="495"/>
      <c r="I19" s="495"/>
      <c r="J19" s="291"/>
      <c r="K19" s="628"/>
      <c r="N19"/>
      <c r="O19"/>
      <c r="P19"/>
      <c r="Q19"/>
      <c r="R19"/>
      <c r="S19"/>
      <c r="T19"/>
    </row>
    <row r="20" spans="2:20" ht="21" customHeight="1">
      <c r="B20" s="248"/>
      <c r="C20" s="495"/>
      <c r="D20" s="495"/>
      <c r="E20" s="495"/>
      <c r="F20" s="495"/>
      <c r="G20" s="495"/>
      <c r="H20" s="495"/>
      <c r="I20" s="495"/>
      <c r="J20" s="291"/>
      <c r="K20" s="628"/>
      <c r="N20"/>
      <c r="O20"/>
      <c r="P20"/>
      <c r="Q20"/>
      <c r="R20"/>
      <c r="S20"/>
      <c r="T20"/>
    </row>
    <row r="21" spans="2:20" ht="21" customHeight="1">
      <c r="B21" s="248"/>
      <c r="C21" s="248" t="s">
        <v>335</v>
      </c>
      <c r="D21" s="248"/>
      <c r="E21" s="248"/>
      <c r="F21" s="248"/>
      <c r="G21" s="248"/>
      <c r="H21" s="248"/>
      <c r="I21" s="248"/>
      <c r="J21" s="426"/>
      <c r="K21" s="636">
        <f>SUM(J16:J20)</f>
        <v>0</v>
      </c>
      <c r="N21"/>
      <c r="O21"/>
      <c r="P21"/>
      <c r="Q21"/>
      <c r="R21"/>
      <c r="S21"/>
      <c r="T21"/>
    </row>
    <row r="22" spans="2:20" ht="21" customHeight="1">
      <c r="B22" s="248" t="s">
        <v>336</v>
      </c>
      <c r="C22" s="248"/>
      <c r="D22" s="248"/>
      <c r="E22" s="248"/>
      <c r="F22" s="248"/>
      <c r="G22" s="248"/>
      <c r="H22" s="248"/>
      <c r="I22" s="248"/>
      <c r="J22" s="804" t="s">
        <v>627</v>
      </c>
      <c r="K22" s="628"/>
      <c r="N22"/>
      <c r="O22"/>
      <c r="P22"/>
      <c r="Q22"/>
      <c r="R22"/>
      <c r="S22"/>
      <c r="T22"/>
    </row>
    <row r="23" spans="2:20" ht="21" customHeight="1">
      <c r="B23" s="248"/>
      <c r="C23" s="248" t="s">
        <v>337</v>
      </c>
      <c r="D23" s="248"/>
      <c r="E23" s="248"/>
      <c r="F23" s="248"/>
      <c r="G23" s="248"/>
      <c r="H23" s="248"/>
      <c r="I23" s="248"/>
      <c r="J23" s="804" t="s">
        <v>627</v>
      </c>
      <c r="K23" s="628"/>
      <c r="N23"/>
      <c r="O23"/>
      <c r="P23"/>
      <c r="Q23"/>
      <c r="R23"/>
      <c r="S23"/>
      <c r="T23"/>
    </row>
    <row r="24" spans="2:20" ht="21" customHeight="1">
      <c r="B24" s="248"/>
      <c r="C24" s="248"/>
      <c r="D24" s="248" t="s">
        <v>593</v>
      </c>
      <c r="E24" s="248"/>
      <c r="F24" s="248"/>
      <c r="G24" s="248"/>
      <c r="H24" s="248"/>
      <c r="I24" s="248"/>
      <c r="J24" s="629">
        <f>+'44-Utility5'!I36</f>
        <v>0</v>
      </c>
      <c r="K24" s="628"/>
      <c r="N24"/>
      <c r="O24"/>
      <c r="P24"/>
      <c r="Q24"/>
      <c r="R24"/>
      <c r="S24"/>
      <c r="T24"/>
    </row>
    <row r="25" spans="2:20" ht="21" customHeight="1">
      <c r="B25" s="248"/>
      <c r="C25" s="248"/>
      <c r="D25" s="248" t="s">
        <v>730</v>
      </c>
      <c r="E25" s="248"/>
      <c r="F25" s="248"/>
      <c r="G25" s="248"/>
      <c r="H25" s="248"/>
      <c r="I25" s="248"/>
      <c r="J25" s="629">
        <f>+'44-Utility5'!I37</f>
        <v>0</v>
      </c>
      <c r="K25" s="628"/>
      <c r="N25"/>
      <c r="O25"/>
      <c r="P25"/>
      <c r="Q25"/>
      <c r="R25"/>
      <c r="S25"/>
      <c r="T25"/>
    </row>
    <row r="26" spans="2:20" ht="21" customHeight="1">
      <c r="B26" s="248"/>
      <c r="C26" s="248" t="s">
        <v>338</v>
      </c>
      <c r="D26" s="248"/>
      <c r="E26" s="248"/>
      <c r="F26" s="248"/>
      <c r="G26" s="248"/>
      <c r="H26" s="248"/>
      <c r="I26" s="248"/>
      <c r="J26" s="426"/>
      <c r="K26" s="628"/>
      <c r="N26"/>
      <c r="O26"/>
      <c r="P26"/>
      <c r="Q26"/>
      <c r="R26"/>
      <c r="S26"/>
      <c r="T26"/>
    </row>
    <row r="27" spans="2:20" ht="21" customHeight="1">
      <c r="B27" s="248"/>
      <c r="C27" s="248" t="s">
        <v>339</v>
      </c>
      <c r="D27" s="248"/>
      <c r="E27" s="248"/>
      <c r="F27" s="248"/>
      <c r="G27" s="248"/>
      <c r="H27" s="248"/>
      <c r="I27" s="248"/>
      <c r="J27" s="426"/>
      <c r="K27" s="628"/>
      <c r="N27"/>
      <c r="O27"/>
      <c r="P27"/>
      <c r="Q27"/>
      <c r="R27"/>
      <c r="S27"/>
      <c r="T27"/>
    </row>
    <row r="28" spans="2:20" ht="21" customHeight="1" thickBot="1">
      <c r="B28" s="248"/>
      <c r="C28" s="495"/>
      <c r="D28" s="495"/>
      <c r="E28" s="495"/>
      <c r="F28" s="495"/>
      <c r="G28" s="495"/>
      <c r="H28" s="495"/>
      <c r="I28" s="495"/>
      <c r="J28" s="725"/>
      <c r="K28" s="628"/>
      <c r="N28"/>
      <c r="O28"/>
      <c r="P28"/>
      <c r="Q28"/>
      <c r="R28"/>
      <c r="S28"/>
      <c r="T28"/>
    </row>
    <row r="29" spans="2:20" ht="21" customHeight="1">
      <c r="B29" s="248"/>
      <c r="C29" s="248"/>
      <c r="D29" s="248"/>
      <c r="E29" s="248"/>
      <c r="F29" s="248" t="s">
        <v>731</v>
      </c>
      <c r="G29" s="248"/>
      <c r="H29" s="248"/>
      <c r="I29" s="248"/>
      <c r="J29" s="633">
        <f>SUM(J24:J28)</f>
        <v>0</v>
      </c>
      <c r="K29" s="628"/>
      <c r="N29"/>
      <c r="O29"/>
      <c r="P29"/>
      <c r="Q29"/>
      <c r="R29"/>
      <c r="S29"/>
      <c r="T29"/>
    </row>
    <row r="30" spans="2:20" ht="11.25" customHeight="1">
      <c r="F30" s="267" t="s">
        <v>755</v>
      </c>
      <c r="G30" s="267" t="s">
        <v>756</v>
      </c>
      <c r="J30" s="807"/>
      <c r="K30" s="628"/>
      <c r="N30"/>
      <c r="O30"/>
      <c r="P30"/>
      <c r="Q30"/>
      <c r="R30"/>
      <c r="S30"/>
      <c r="T30"/>
    </row>
    <row r="31" spans="2:20" ht="13.5" customHeight="1">
      <c r="B31" s="333"/>
      <c r="C31" s="333"/>
      <c r="D31" s="333"/>
      <c r="E31" s="333"/>
      <c r="F31" s="333"/>
      <c r="G31" s="333" t="s">
        <v>757</v>
      </c>
      <c r="H31" s="333"/>
      <c r="I31" s="808"/>
      <c r="J31" s="962"/>
      <c r="K31" s="805"/>
      <c r="N31"/>
      <c r="O31"/>
      <c r="P31"/>
      <c r="Q31"/>
      <c r="R31"/>
      <c r="S31"/>
      <c r="T31"/>
    </row>
    <row r="32" spans="2:20" ht="21" customHeight="1" thickBot="1">
      <c r="B32" s="810"/>
      <c r="C32" s="810"/>
      <c r="D32" s="810" t="s">
        <v>758</v>
      </c>
      <c r="E32" s="810"/>
      <c r="F32" s="810"/>
      <c r="G32" s="810"/>
      <c r="H32" s="810"/>
      <c r="I32" s="810"/>
      <c r="J32" s="811"/>
      <c r="K32" s="806">
        <f>+J29-J31</f>
        <v>0</v>
      </c>
    </row>
    <row r="33" spans="2:15" ht="21" customHeight="1" thickTop="1" thickBot="1">
      <c r="B33" s="812" t="s">
        <v>759</v>
      </c>
      <c r="C33" s="812"/>
      <c r="D33" s="812"/>
      <c r="E33" s="812"/>
      <c r="F33" s="812"/>
      <c r="G33" s="812"/>
      <c r="H33" s="812"/>
      <c r="I33" s="812"/>
      <c r="J33" s="813"/>
      <c r="K33" s="814">
        <f>IF(M33&gt;0,M33,0)</f>
        <v>0</v>
      </c>
      <c r="M33" s="301">
        <f>+K21-K32</f>
        <v>0</v>
      </c>
      <c r="N33" s="550" t="s">
        <v>3371</v>
      </c>
    </row>
    <row r="34" spans="2:15" ht="21" customHeight="1">
      <c r="B34" s="248" t="s">
        <v>760</v>
      </c>
      <c r="C34" s="248"/>
      <c r="D34" s="248"/>
      <c r="E34" s="248"/>
      <c r="F34" s="248"/>
      <c r="G34" s="248"/>
      <c r="H34" s="248"/>
      <c r="I34" s="248"/>
      <c r="J34" s="426"/>
      <c r="K34" s="628"/>
    </row>
    <row r="35" spans="2:15" ht="11.25" customHeight="1">
      <c r="B35" s="1375" t="s">
        <v>761</v>
      </c>
      <c r="C35" s="1375"/>
      <c r="D35" s="1375"/>
      <c r="E35" s="267" t="str">
        <f>"Balance of Results of "&amp;IF('KEY INPUTS'!C42="State Fiscal Year","Fiscal Year "&amp;'KEY INPUTS'!D33&amp;"",'KEY INPUTS'!D34)&amp;" Operation"</f>
        <v>Balance of Results of 2024 Operation</v>
      </c>
      <c r="J35" s="807"/>
      <c r="K35" s="628"/>
    </row>
    <row r="36" spans="2:15" ht="12.75" customHeight="1" thickBot="1">
      <c r="B36" s="1376"/>
      <c r="C36" s="1376"/>
      <c r="D36" s="1376"/>
      <c r="E36" s="333" t="s">
        <v>3481</v>
      </c>
      <c r="F36" s="333"/>
      <c r="G36" s="333"/>
      <c r="H36" s="333"/>
      <c r="I36" s="333"/>
      <c r="J36" s="809">
        <f>+K33-J34</f>
        <v>0</v>
      </c>
      <c r="K36" s="628"/>
    </row>
    <row r="37" spans="2:15" ht="21" customHeight="1" thickBot="1">
      <c r="B37" s="819"/>
      <c r="C37" s="819"/>
      <c r="D37" s="819"/>
      <c r="E37" s="819"/>
      <c r="F37" s="819"/>
      <c r="G37" s="819"/>
      <c r="H37" s="819"/>
      <c r="I37" s="819"/>
      <c r="J37" s="820"/>
      <c r="K37" s="815"/>
    </row>
    <row r="38" spans="2:15" ht="21" customHeight="1" thickBot="1">
      <c r="B38" s="357" t="s">
        <v>762</v>
      </c>
      <c r="C38" s="357"/>
      <c r="D38" s="357"/>
      <c r="E38" s="357"/>
      <c r="F38" s="357"/>
      <c r="G38" s="357"/>
      <c r="H38" s="357"/>
      <c r="I38" s="357"/>
      <c r="J38" s="821"/>
      <c r="K38" s="816">
        <f>IF(+M33&gt;0,0,+M33*-1)</f>
        <v>0</v>
      </c>
    </row>
    <row r="39" spans="2:15" ht="21" customHeight="1">
      <c r="B39" s="248" t="s">
        <v>763</v>
      </c>
      <c r="C39" s="248"/>
      <c r="D39" s="248"/>
      <c r="E39" s="248"/>
      <c r="F39" s="248"/>
      <c r="G39" s="248"/>
      <c r="H39" s="248"/>
      <c r="I39" s="248"/>
      <c r="J39" s="821">
        <f>+'44-Utility5'!I21</f>
        <v>0</v>
      </c>
      <c r="K39" s="628"/>
    </row>
    <row r="40" spans="2:15">
      <c r="B40" s="1377" t="s">
        <v>761</v>
      </c>
      <c r="C40" s="1377"/>
      <c r="D40" s="1377"/>
      <c r="E40" s="267" t="str">
        <f>"Balance of Results of "&amp;IF('KEY INPUTS'!C42="State Fiscal Year","Fiscal Year "&amp;'KEY INPUTS'!D33&amp;"",'KEY INPUTS'!D34)&amp;" Operation"</f>
        <v>Balance of Results of 2024 Operation</v>
      </c>
      <c r="J40" s="807"/>
      <c r="K40" s="817"/>
    </row>
    <row r="41" spans="2:15" ht="13.8" thickBot="1">
      <c r="B41" s="1378"/>
      <c r="C41" s="1378"/>
      <c r="D41" s="1378"/>
      <c r="E41" s="318" t="s">
        <v>3157</v>
      </c>
      <c r="F41" s="318"/>
      <c r="G41" s="318"/>
      <c r="H41" s="318"/>
      <c r="I41" s="318"/>
      <c r="J41" s="822">
        <f>+K38-J39</f>
        <v>0</v>
      </c>
      <c r="K41" s="818"/>
      <c r="L41" s="573"/>
      <c r="O41" s="301"/>
    </row>
    <row r="42" spans="2:15" ht="13.8" thickTop="1">
      <c r="J42" s="355"/>
      <c r="K42" s="355"/>
    </row>
    <row r="43" spans="2:15" ht="17.399999999999999">
      <c r="B43" s="800" t="s">
        <v>764</v>
      </c>
      <c r="J43" s="628"/>
      <c r="K43" s="628"/>
    </row>
    <row r="44" spans="2:15">
      <c r="B44" s="267" t="str">
        <f>"The following Item of '"&amp;IF('KEY INPUTS'!C42="State Fiscal Year","Fiscal Year "&amp;'KEY INPUTS'!D33-1&amp;"",'KEY INPUTS'!D34-1)&amp;" Appropriation Reserves Canceled in "&amp;IF('KEY INPUTS'!C42="State Fiscal Year","Fiscal Year "&amp;'KEY INPUTS'!D33&amp;"",'KEY INPUTS'!D34)&amp;"' is Due to the Current"</f>
        <v>The following Item of '2023 Appropriation Reserves Canceled in 2024' is Due to the Current</v>
      </c>
      <c r="J44" s="628"/>
      <c r="K44" s="628"/>
    </row>
    <row r="45" spans="2:15">
      <c r="B45" s="267" t="str">
        <f>"fund TO THE EXTENT OF the amount received and Due from the General Budget of "&amp;IF('KEY INPUTS'!C42="State Fiscal Year","Fiscal Year "&amp;'KEY INPUTS'!D33-1&amp;"",'KEY INPUTS'!D34-1)&amp;" for an"</f>
        <v>fund TO THE EXTENT OF the amount received and Due from the General Budget of 2023 for an</v>
      </c>
      <c r="J45" s="628"/>
      <c r="K45" s="628"/>
    </row>
    <row r="46" spans="2:15">
      <c r="B46" s="267" t="str">
        <f>"Anticipated Deficit in the "&amp;PROPER('KEY INPUTS'!D58)&amp;" Utility for "&amp;IF('KEY INPUTS'!C42="State Fiscal Year","Fiscal Year "&amp;'KEY INPUTS'!D33-1&amp;"",'KEY INPUTS'!D34-1)&amp;""</f>
        <v>Anticipated Deficit in the  Utility for 2023</v>
      </c>
      <c r="J46" s="628"/>
      <c r="K46" s="628"/>
      <c r="O46"/>
    </row>
    <row r="47" spans="2:15">
      <c r="J47" s="628"/>
      <c r="K47" s="628"/>
      <c r="O47"/>
    </row>
    <row r="48" spans="2:15" ht="21" customHeight="1">
      <c r="B48" s="248" t="str">
        <f>IF('KEY INPUTS'!C42="State Fiscal Year","Fiscal Year "&amp;'KEY INPUTS'!D33-1&amp;"",'KEY INPUTS'!D34-1)&amp;" Appropriation Reserves Canceled in "&amp;IF('KEY INPUTS'!C42="State Fiscal Year","Fiscal Year "&amp;'KEY INPUTS'!D33&amp;"",'KEY INPUTS'!D34)&amp;""</f>
        <v>2023 Appropriation Reserves Canceled in 2024</v>
      </c>
      <c r="C48" s="248"/>
      <c r="D48" s="248"/>
      <c r="E48" s="248"/>
      <c r="F48" s="248"/>
      <c r="G48" s="248"/>
      <c r="H48" s="248"/>
      <c r="I48" s="248"/>
      <c r="J48" s="291"/>
      <c r="K48" s="628"/>
      <c r="O48"/>
    </row>
    <row r="49" spans="2:15" ht="24" customHeight="1">
      <c r="B49" s="248"/>
      <c r="C49" s="823" t="s">
        <v>755</v>
      </c>
      <c r="D49" s="248"/>
      <c r="E49" s="1373" t="str">
        <f>"Anticipated Deficit in "&amp;IF('KEY INPUTS'!C42="State Fiscal Year","Fiscal Year "&amp;'KEY INPUTS'!D33-1&amp;"",'KEY INPUTS'!D34-1)&amp;" Budget - Amount Received and Due from Current Fund - If none, enter 'None '"</f>
        <v>Anticipated Deficit in 2023 Budget - Amount Received and Due from Current Fund - If none, enter 'None '</v>
      </c>
      <c r="F49" s="1373"/>
      <c r="G49" s="1373"/>
      <c r="H49" s="1373"/>
      <c r="I49" s="1374"/>
      <c r="J49" s="426"/>
      <c r="K49" s="628"/>
      <c r="O49"/>
    </row>
    <row r="50" spans="2:15" ht="21" customHeight="1">
      <c r="B50" s="248" t="s">
        <v>765</v>
      </c>
      <c r="C50" s="248"/>
      <c r="D50" s="248"/>
      <c r="E50" s="248"/>
      <c r="F50" s="248"/>
      <c r="G50" s="248"/>
      <c r="H50" s="248"/>
      <c r="I50" s="248"/>
      <c r="J50" s="509"/>
      <c r="K50" s="636">
        <f>+MAX(0,J48-J49)</f>
        <v>0</v>
      </c>
    </row>
    <row r="52" spans="2:15">
      <c r="B52" s="267" t="s">
        <v>3156</v>
      </c>
    </row>
    <row r="57" spans="2:15" ht="13.8">
      <c r="B57" s="1353" t="s">
        <v>3155</v>
      </c>
      <c r="C57" s="1353"/>
      <c r="D57" s="1353"/>
      <c r="E57" s="1353"/>
      <c r="F57" s="1353"/>
      <c r="G57" s="1353"/>
      <c r="H57" s="1353"/>
      <c r="I57" s="1353"/>
      <c r="J57" s="1353"/>
      <c r="K57" s="1353"/>
    </row>
  </sheetData>
  <sheetProtection algorithmName="SHA-512" hashValue="J71LPBbyBj3g2Du8i9csdd+BjQGHZLXVCYrVSV/tVpKiBQgqiWCVh5D3M1EAjN98sS5YNUbfOlJhZZppMhj2IQ==" saltValue="Hz6VFfjQSbphYdo3E5+nAQ==" spinCount="100000"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48B2D-A055-4D37-86E7-5BD903634B04}">
  <sheetPr codeName="Sheet254">
    <tabColor theme="7" tint="0.39997558519241921"/>
  </sheetPr>
  <dimension ref="B2:Z52"/>
  <sheetViews>
    <sheetView zoomScaleNormal="100" zoomScaleSheetLayoutView="80" workbookViewId="0">
      <selection activeCell="B7" sqref="B7"/>
    </sheetView>
  </sheetViews>
  <sheetFormatPr defaultColWidth="8.88671875" defaultRowHeight="13.2"/>
  <cols>
    <col min="1" max="5" width="4.6640625" style="267" customWidth="1"/>
    <col min="6" max="8" width="8.88671875" style="267"/>
    <col min="9" max="9" width="6.33203125" style="267" customWidth="1"/>
    <col min="10" max="10" width="8.88671875" style="267"/>
    <col min="11" max="12" width="16.6640625" style="267" customWidth="1"/>
    <col min="13" max="13" width="13.5546875" style="267" bestFit="1" customWidth="1"/>
    <col min="14" max="14" width="11.88671875" style="267" bestFit="1" customWidth="1"/>
    <col min="15" max="16384" width="8.88671875" style="267"/>
  </cols>
  <sheetData>
    <row r="2" spans="2:26" ht="20.399999999999999">
      <c r="B2" s="1363" t="str">
        <f>"RESULTS  OF  "&amp;IF('KEY INPUTS'!C42="State Fiscal Year","FY  "&amp;'KEY INPUTS'!D33&amp;"",'KEY INPUTS'!D34)&amp;"  OPERATIONS  - "&amp;UPPER('KEY INPUTS'!D58)&amp;" UTILITY"</f>
        <v>RESULTS  OF  2024  OPERATIONS  -  UTILITY</v>
      </c>
      <c r="C2" s="1363"/>
      <c r="D2" s="1363"/>
      <c r="E2" s="1363"/>
      <c r="F2" s="1363"/>
      <c r="G2" s="1363"/>
      <c r="H2" s="1363"/>
      <c r="I2" s="1363"/>
      <c r="J2" s="1363"/>
      <c r="K2" s="1363"/>
      <c r="L2" s="1363"/>
    </row>
    <row r="3" spans="2:26" ht="13.8" thickBot="1"/>
    <row r="4" spans="2:26" ht="21" customHeight="1" thickTop="1" thickBot="1">
      <c r="B4" s="364"/>
      <c r="C4" s="364"/>
      <c r="D4" s="364"/>
      <c r="E4" s="364"/>
      <c r="F4" s="364"/>
      <c r="G4" s="364"/>
      <c r="H4" s="364"/>
      <c r="I4" s="364"/>
      <c r="J4" s="364"/>
      <c r="K4" s="304" t="s">
        <v>96</v>
      </c>
      <c r="L4" s="308" t="s">
        <v>97</v>
      </c>
    </row>
    <row r="5" spans="2:26" ht="21" customHeight="1" thickTop="1">
      <c r="B5" s="831" t="s">
        <v>209</v>
      </c>
      <c r="C5" s="313"/>
      <c r="D5" s="313"/>
      <c r="E5" s="313"/>
      <c r="F5" s="313"/>
      <c r="G5" s="313"/>
      <c r="H5" s="313"/>
      <c r="I5" s="313"/>
      <c r="J5" s="313"/>
      <c r="K5" s="826" t="s">
        <v>627</v>
      </c>
      <c r="L5" s="827">
        <f>IF(+'44-Utility5'!J22&gt;0,+'44-Utility5'!J22,0)</f>
        <v>0</v>
      </c>
      <c r="N5"/>
      <c r="O5"/>
      <c r="P5"/>
      <c r="Q5"/>
      <c r="R5"/>
      <c r="S5"/>
      <c r="T5"/>
    </row>
    <row r="6" spans="2:26" ht="21" customHeight="1">
      <c r="B6" s="802" t="s">
        <v>3601</v>
      </c>
      <c r="C6" s="248"/>
      <c r="D6" s="248"/>
      <c r="E6" s="248"/>
      <c r="F6" s="248"/>
      <c r="G6" s="248"/>
      <c r="H6" s="248"/>
      <c r="I6" s="248"/>
      <c r="J6" s="248"/>
      <c r="K6" s="828" t="s">
        <v>627</v>
      </c>
      <c r="L6" s="780">
        <f>+'44-Utility5'!J40</f>
        <v>0</v>
      </c>
      <c r="M6" s="573"/>
      <c r="N6"/>
      <c r="O6"/>
      <c r="P6"/>
      <c r="Q6"/>
      <c r="R6"/>
      <c r="S6"/>
      <c r="T6"/>
    </row>
    <row r="7" spans="2:26" ht="21" customHeight="1">
      <c r="B7" s="538" t="s">
        <v>210</v>
      </c>
      <c r="C7" s="248"/>
      <c r="D7" s="248"/>
      <c r="E7" s="248"/>
      <c r="F7" s="248"/>
      <c r="G7" s="248"/>
      <c r="H7" s="248"/>
      <c r="I7" s="248"/>
      <c r="J7" s="248"/>
      <c r="K7" s="828" t="s">
        <v>627</v>
      </c>
      <c r="L7" s="780">
        <f>'45-Utility5'!J17</f>
        <v>0</v>
      </c>
      <c r="N7" s="294"/>
      <c r="O7"/>
      <c r="P7"/>
      <c r="Q7"/>
      <c r="R7"/>
      <c r="S7"/>
      <c r="T7"/>
    </row>
    <row r="8" spans="2:26" ht="21" customHeight="1">
      <c r="B8" s="267" t="str">
        <f>"Unexpended Balances of "&amp;IF('KEY INPUTS'!C42="State Fiscal Year","FY "&amp;'KEY INPUTS'!D33-1&amp;"",'KEY INPUTS'!D34-1)&amp;" Appropriation Reserves*"</f>
        <v>Unexpended Balances of 2023 Appropriation Reserves*</v>
      </c>
      <c r="C8" s="248"/>
      <c r="D8" s="248"/>
      <c r="E8" s="248"/>
      <c r="F8" s="248"/>
      <c r="G8" s="248"/>
      <c r="H8" s="248"/>
      <c r="I8" s="248"/>
      <c r="J8" s="248"/>
      <c r="K8" s="828" t="s">
        <v>627</v>
      </c>
      <c r="L8" s="780">
        <f>+'45-Utility5'!K50</f>
        <v>0</v>
      </c>
      <c r="N8"/>
      <c r="O8"/>
      <c r="P8"/>
      <c r="Q8"/>
      <c r="R8"/>
      <c r="S8"/>
      <c r="T8"/>
    </row>
    <row r="9" spans="2:26" ht="21" customHeight="1">
      <c r="B9" s="544"/>
      <c r="C9" s="495"/>
      <c r="D9" s="495"/>
      <c r="E9" s="495"/>
      <c r="F9" s="495"/>
      <c r="G9" s="495"/>
      <c r="H9" s="495"/>
      <c r="I9" s="248"/>
      <c r="J9" s="248"/>
      <c r="K9" s="504"/>
      <c r="L9" s="457"/>
      <c r="N9"/>
      <c r="O9"/>
      <c r="P9"/>
      <c r="Q9"/>
      <c r="R9"/>
      <c r="S9"/>
      <c r="T9"/>
    </row>
    <row r="10" spans="2:26" ht="21" customHeight="1">
      <c r="B10" s="267" t="s">
        <v>3162</v>
      </c>
      <c r="K10" s="533">
        <f>IF(+'44-Utility5'!J22&lt;0,-'44-Utility5'!J22,0)</f>
        <v>0</v>
      </c>
      <c r="L10" s="829" t="s">
        <v>627</v>
      </c>
      <c r="M10" s="301">
        <f>+L9+L8+L7+L6+L5-K11-K10-K9</f>
        <v>0</v>
      </c>
      <c r="N10" s="550" t="s">
        <v>3371</v>
      </c>
      <c r="O10"/>
      <c r="P10"/>
      <c r="Q10"/>
      <c r="R10"/>
      <c r="S10"/>
      <c r="T10"/>
      <c r="V10" s="366">
        <f>-'44-Utility5'!U22</f>
        <v>0</v>
      </c>
    </row>
    <row r="11" spans="2:26" ht="21" customHeight="1">
      <c r="B11" s="544"/>
      <c r="C11" s="824"/>
      <c r="D11" s="495"/>
      <c r="E11" s="495"/>
      <c r="F11" s="495"/>
      <c r="G11" s="495"/>
      <c r="H11" s="495"/>
      <c r="I11" s="248"/>
      <c r="J11" s="248"/>
      <c r="K11" s="450"/>
      <c r="L11" s="829" t="s">
        <v>627</v>
      </c>
      <c r="N11"/>
      <c r="O11"/>
      <c r="P11"/>
      <c r="Q11"/>
      <c r="R11"/>
      <c r="S11"/>
      <c r="T11"/>
      <c r="U11"/>
      <c r="V11"/>
      <c r="W11"/>
      <c r="X11"/>
      <c r="Y11"/>
      <c r="Z11"/>
    </row>
    <row r="12" spans="2:26" ht="21" customHeight="1">
      <c r="B12" s="538" t="s">
        <v>211</v>
      </c>
      <c r="C12" s="802"/>
      <c r="D12" s="248"/>
      <c r="E12" s="248"/>
      <c r="F12" s="248"/>
      <c r="G12" s="248"/>
      <c r="H12" s="248"/>
      <c r="I12" s="248"/>
      <c r="J12" s="248"/>
      <c r="K12" s="828" t="s">
        <v>627</v>
      </c>
      <c r="L12" s="365">
        <f>IF(M10&gt;0,0,M10*-1)</f>
        <v>0</v>
      </c>
      <c r="N12"/>
      <c r="O12"/>
      <c r="P12"/>
      <c r="Q12"/>
      <c r="R12"/>
      <c r="S12"/>
      <c r="T12"/>
      <c r="U12"/>
      <c r="V12"/>
      <c r="W12"/>
      <c r="X12"/>
      <c r="Y12"/>
      <c r="Z12"/>
    </row>
    <row r="13" spans="2:26" ht="21" customHeight="1" thickBot="1">
      <c r="B13" s="538" t="s">
        <v>212</v>
      </c>
      <c r="C13" s="802"/>
      <c r="D13" s="248"/>
      <c r="E13" s="248"/>
      <c r="F13" s="248"/>
      <c r="G13" s="248"/>
      <c r="H13" s="248"/>
      <c r="I13" s="248"/>
      <c r="J13" s="248"/>
      <c r="K13" s="533">
        <f>IF(M10&gt;0,M10,0)</f>
        <v>0</v>
      </c>
      <c r="L13" s="830" t="s">
        <v>627</v>
      </c>
      <c r="M13" s="301"/>
      <c r="N13"/>
      <c r="O13"/>
      <c r="P13"/>
      <c r="Q13"/>
      <c r="R13"/>
      <c r="S13"/>
      <c r="T13"/>
      <c r="U13"/>
      <c r="V13" s="365">
        <f>U11</f>
        <v>0</v>
      </c>
      <c r="W13"/>
      <c r="X13"/>
      <c r="Y13"/>
      <c r="Z13"/>
    </row>
    <row r="14" spans="2:26" ht="21" customHeight="1" thickBot="1">
      <c r="B14" s="309" t="s">
        <v>3161</v>
      </c>
      <c r="K14" s="785">
        <f>SUM(K5:K13)</f>
        <v>0</v>
      </c>
      <c r="L14" s="786">
        <f>SUM(L5:L13)</f>
        <v>0</v>
      </c>
      <c r="M14" s="301">
        <f>L14-K14</f>
        <v>0</v>
      </c>
      <c r="N14" s="550" t="s">
        <v>3371</v>
      </c>
      <c r="O14"/>
      <c r="P14"/>
      <c r="Q14"/>
      <c r="R14"/>
      <c r="S14"/>
      <c r="T14"/>
      <c r="U14"/>
      <c r="V14"/>
      <c r="W14"/>
      <c r="X14"/>
      <c r="Y14"/>
      <c r="Z14"/>
    </row>
    <row r="15" spans="2:26" ht="18.75" customHeight="1" thickTop="1">
      <c r="N15"/>
      <c r="O15"/>
      <c r="P15"/>
      <c r="Q15"/>
      <c r="R15"/>
      <c r="S15"/>
      <c r="T15"/>
    </row>
    <row r="16" spans="2:26" ht="18.75" customHeight="1">
      <c r="K16" s="301"/>
      <c r="N16"/>
      <c r="O16"/>
      <c r="P16"/>
      <c r="Q16"/>
      <c r="R16"/>
      <c r="S16"/>
      <c r="T16"/>
    </row>
    <row r="17" spans="2:20" ht="22.8">
      <c r="B17" s="1358" t="str">
        <f>"OPERATING  SURPLUS  - "&amp;UPPER('KEY INPUTS'!D58)&amp;" UTILITY"</f>
        <v>OPERATING  SURPLUS  -  UTILITY</v>
      </c>
      <c r="C17" s="1358"/>
      <c r="D17" s="1358"/>
      <c r="E17" s="1358"/>
      <c r="F17" s="1358"/>
      <c r="G17" s="1358"/>
      <c r="H17" s="1358"/>
      <c r="I17" s="1358"/>
      <c r="J17" s="1358"/>
      <c r="K17" s="1358"/>
      <c r="L17" s="1358"/>
      <c r="N17"/>
      <c r="O17"/>
      <c r="P17"/>
      <c r="Q17"/>
      <c r="R17"/>
      <c r="S17"/>
      <c r="T17"/>
    </row>
    <row r="18" spans="2:20" ht="6.75" customHeight="1" thickBot="1">
      <c r="N18"/>
      <c r="O18"/>
      <c r="P18"/>
      <c r="Q18"/>
      <c r="R18"/>
      <c r="S18"/>
      <c r="T18"/>
    </row>
    <row r="19" spans="2:20" ht="25.5" customHeight="1" thickTop="1" thickBot="1">
      <c r="B19" s="364"/>
      <c r="C19" s="364"/>
      <c r="D19" s="364"/>
      <c r="E19" s="364"/>
      <c r="F19" s="364"/>
      <c r="G19" s="364"/>
      <c r="H19" s="364"/>
      <c r="I19" s="364"/>
      <c r="J19" s="364"/>
      <c r="K19" s="304" t="s">
        <v>96</v>
      </c>
      <c r="L19" s="308" t="s">
        <v>97</v>
      </c>
      <c r="N19"/>
      <c r="O19"/>
      <c r="P19"/>
      <c r="Q19"/>
      <c r="R19"/>
      <c r="S19"/>
      <c r="T19"/>
    </row>
    <row r="20" spans="2:20" ht="21" customHeight="1" thickTop="1">
      <c r="B20" s="363" t="str">
        <f>IF('KEY INPUTS'!C42 = "State Fiscal Year", 'KEY INPUTS'!F25,'KEY INPUTS'!D25)</f>
        <v>Balance - January 1, 2024</v>
      </c>
      <c r="C20" s="313"/>
      <c r="D20" s="313"/>
      <c r="E20" s="313"/>
      <c r="F20" s="313"/>
      <c r="G20" s="313"/>
      <c r="H20" s="313"/>
      <c r="I20" s="313"/>
      <c r="J20" s="313"/>
      <c r="K20" s="903" t="s">
        <v>627</v>
      </c>
      <c r="L20" s="486"/>
      <c r="N20"/>
      <c r="O20"/>
      <c r="P20"/>
      <c r="Q20"/>
      <c r="R20"/>
      <c r="S20"/>
      <c r="T20"/>
    </row>
    <row r="21" spans="2:20" ht="21" customHeight="1">
      <c r="B21" s="524"/>
      <c r="C21" s="495"/>
      <c r="D21" s="495"/>
      <c r="E21" s="495"/>
      <c r="F21" s="495"/>
      <c r="G21" s="495"/>
      <c r="H21" s="495"/>
      <c r="I21" s="495"/>
      <c r="J21" s="495"/>
      <c r="K21" s="773"/>
      <c r="L21" s="457"/>
      <c r="N21"/>
      <c r="O21"/>
      <c r="P21"/>
      <c r="Q21"/>
      <c r="R21"/>
      <c r="S21"/>
      <c r="T21"/>
    </row>
    <row r="22" spans="2:20" ht="21" customHeight="1">
      <c r="B22" s="248" t="str">
        <f>"Excess in Results of "&amp;IF('KEY INPUTS'!C42="State Fiscal Year","Fiscal Year "&amp;'KEY INPUTS'!D33&amp;"",'KEY INPUTS'!D34)&amp;" Operations"</f>
        <v>Excess in Results of 2024 Operations</v>
      </c>
      <c r="C22" s="248"/>
      <c r="D22" s="248"/>
      <c r="E22" s="248"/>
      <c r="F22" s="248"/>
      <c r="G22" s="248"/>
      <c r="H22" s="248"/>
      <c r="I22" s="248"/>
      <c r="J22" s="248"/>
      <c r="K22" s="904" t="s">
        <v>627</v>
      </c>
      <c r="L22" s="780">
        <f>+K13</f>
        <v>0</v>
      </c>
    </row>
    <row r="23" spans="2:20" ht="21" customHeight="1">
      <c r="B23" s="248" t="str">
        <f>"Amount Appropriated in the "&amp;IF('KEY INPUTS'!C42="State Fiscal Year","FY "&amp;'KEY INPUTS'!D33&amp;"",'KEY INPUTS'!D34)&amp;" Budget - Cash"</f>
        <v>Amount Appropriated in the 2024 Budget - Cash</v>
      </c>
      <c r="C23" s="248"/>
      <c r="D23" s="248"/>
      <c r="E23" s="248"/>
      <c r="F23" s="248"/>
      <c r="G23" s="248"/>
      <c r="H23" s="248"/>
      <c r="I23" s="248"/>
      <c r="J23" s="248"/>
      <c r="K23" s="533">
        <f>'44-Utility5'!I7</f>
        <v>0</v>
      </c>
      <c r="L23" s="905" t="s">
        <v>627</v>
      </c>
    </row>
    <row r="24" spans="2:20">
      <c r="B24" s="267" t="str">
        <f>"Amount Appropriated in "&amp;IF('KEY INPUTS'!C42="State Fiscal Year","FY "&amp;'KEY INPUTS'!D33&amp;"",'KEY INPUTS'!D34)&amp;" Budget with Prior Written"</f>
        <v>Amount Appropriated in 2024 Budget with Prior Written</v>
      </c>
      <c r="K24" s="1382"/>
      <c r="L24" s="1470" t="s">
        <v>627</v>
      </c>
    </row>
    <row r="25" spans="2:20" ht="12.75" customHeight="1">
      <c r="B25" s="333" t="s">
        <v>841</v>
      </c>
      <c r="C25" s="333"/>
      <c r="D25" s="333"/>
      <c r="E25" s="333"/>
      <c r="F25" s="333"/>
      <c r="G25" s="333"/>
      <c r="H25" s="333"/>
      <c r="I25" s="333"/>
      <c r="J25" s="333"/>
      <c r="K25" s="1383"/>
      <c r="L25" s="1471"/>
    </row>
    <row r="26" spans="2:20" ht="21" customHeight="1">
      <c r="B26" s="524"/>
      <c r="C26" s="495"/>
      <c r="D26" s="495"/>
      <c r="E26" s="495"/>
      <c r="F26" s="495"/>
      <c r="G26" s="495"/>
      <c r="H26" s="495"/>
      <c r="I26" s="495"/>
      <c r="J26" s="495"/>
      <c r="K26" s="450"/>
      <c r="L26" s="825"/>
    </row>
    <row r="27" spans="2:20" ht="21" customHeight="1" thickBot="1">
      <c r="B27" s="248" t="str">
        <f>IF('KEY INPUTS'!C42 = "State Fiscal Year", 'KEY INPUTS'!F26,'KEY INPUTS'!D26)</f>
        <v>Balance - December 31, 2024</v>
      </c>
      <c r="C27" s="248"/>
      <c r="D27" s="248"/>
      <c r="E27" s="248"/>
      <c r="F27" s="248"/>
      <c r="G27" s="248"/>
      <c r="H27" s="248"/>
      <c r="I27" s="248"/>
      <c r="J27" s="248"/>
      <c r="K27" s="783">
        <f>+SUM(L20:L26)-SUM(K21:K26)</f>
        <v>0</v>
      </c>
      <c r="L27" s="906" t="s">
        <v>627</v>
      </c>
      <c r="N27" s="593" t="s">
        <v>3246</v>
      </c>
    </row>
    <row r="28" spans="2:20" ht="21" customHeight="1" thickBot="1">
      <c r="K28" s="785">
        <f>SUM(K21:K27)</f>
        <v>0</v>
      </c>
      <c r="L28" s="786">
        <f>SUM(L20:L27)</f>
        <v>0</v>
      </c>
    </row>
    <row r="29" spans="2:20" ht="13.8" thickTop="1"/>
    <row r="32" spans="2:20" ht="17.399999999999999">
      <c r="B32" s="1380" t="str">
        <f>"ANALYSIS  OF  BALANCE  "&amp;IF('KEY INPUTS'!C42="State Fiscal Year","JUNE  30,  "&amp;'KEY INPUTS'!D33&amp;"","DECEMBER 31, "&amp;'KEY INPUTS'!D34&amp;"")</f>
        <v>ANALYSIS  OF  BALANCE  DECEMBER 31, 2024</v>
      </c>
      <c r="C32" s="1380"/>
      <c r="D32" s="1380"/>
      <c r="E32" s="1380"/>
      <c r="F32" s="1380"/>
      <c r="G32" s="1380"/>
      <c r="H32" s="1380"/>
      <c r="I32" s="1380"/>
      <c r="J32" s="1380"/>
      <c r="K32" s="1380"/>
      <c r="L32" s="1380"/>
    </row>
    <row r="33" spans="2:14" ht="17.399999999999999">
      <c r="B33" s="1380" t="str">
        <f>"(FROM "&amp;UPPER('KEY INPUTS'!D58)&amp;" UTILITY  -  TRIAL  BALANCE)"</f>
        <v>(FROM  UTILITY  -  TRIAL  BALANCE)</v>
      </c>
      <c r="C33" s="1380"/>
      <c r="D33" s="1380"/>
      <c r="E33" s="1380"/>
      <c r="F33" s="1380"/>
      <c r="G33" s="1380"/>
      <c r="H33" s="1380"/>
      <c r="I33" s="1380"/>
      <c r="J33" s="1380"/>
      <c r="K33" s="1380"/>
      <c r="L33" s="1380"/>
    </row>
    <row r="34" spans="2:14" ht="13.8" thickBot="1"/>
    <row r="35" spans="2:14" ht="21" customHeight="1" thickTop="1">
      <c r="B35" s="313" t="s">
        <v>194</v>
      </c>
      <c r="C35" s="313"/>
      <c r="D35" s="313"/>
      <c r="E35" s="313"/>
      <c r="F35" s="313"/>
      <c r="G35" s="313"/>
      <c r="H35" s="313"/>
      <c r="I35" s="313"/>
      <c r="J35" s="313"/>
      <c r="K35" s="409"/>
      <c r="L35" s="833">
        <f>+'41-Utility5'!G13</f>
        <v>0</v>
      </c>
    </row>
    <row r="36" spans="2:14" ht="21" customHeight="1">
      <c r="B36" s="248" t="s">
        <v>315</v>
      </c>
      <c r="C36" s="248"/>
      <c r="D36" s="248"/>
      <c r="E36" s="248"/>
      <c r="F36" s="248"/>
      <c r="G36" s="248"/>
      <c r="H36" s="248"/>
      <c r="I36" s="248"/>
      <c r="J36" s="248"/>
      <c r="K36" s="407"/>
      <c r="L36" s="479"/>
    </row>
    <row r="37" spans="2:14" ht="21" customHeight="1" thickBot="1">
      <c r="B37" s="248" t="s">
        <v>663</v>
      </c>
      <c r="C37" s="248"/>
      <c r="D37" s="248"/>
      <c r="E37" s="248"/>
      <c r="F37" s="248"/>
      <c r="G37" s="248"/>
      <c r="H37" s="248"/>
      <c r="I37" s="248"/>
      <c r="J37" s="248"/>
      <c r="K37" s="407"/>
      <c r="L37" s="481"/>
    </row>
    <row r="38" spans="2:14" ht="21" customHeight="1" thickTop="1">
      <c r="B38" s="248"/>
      <c r="C38" s="248"/>
      <c r="D38" s="248" t="s">
        <v>317</v>
      </c>
      <c r="E38" s="248"/>
      <c r="F38" s="248"/>
      <c r="G38" s="248"/>
      <c r="H38" s="248"/>
      <c r="I38" s="248"/>
      <c r="J38" s="248"/>
      <c r="K38" s="407"/>
      <c r="L38" s="834">
        <f>SUM(L35:L37)</f>
        <v>0</v>
      </c>
    </row>
    <row r="39" spans="2:14" ht="21" customHeight="1" thickBot="1">
      <c r="B39" s="248" t="s">
        <v>362</v>
      </c>
      <c r="C39" s="248"/>
      <c r="D39" s="248"/>
      <c r="E39" s="248"/>
      <c r="F39" s="248"/>
      <c r="G39" s="248"/>
      <c r="H39" s="248"/>
      <c r="I39" s="248"/>
      <c r="J39" s="248"/>
      <c r="K39" s="407"/>
      <c r="L39" s="835">
        <f>+'41-Utility5'!H39</f>
        <v>0</v>
      </c>
    </row>
    <row r="40" spans="2:14" ht="21" customHeight="1" thickTop="1">
      <c r="B40" s="248"/>
      <c r="C40" s="248"/>
      <c r="D40" s="248" t="s">
        <v>207</v>
      </c>
      <c r="E40" s="248"/>
      <c r="F40" s="248"/>
      <c r="G40" s="248"/>
      <c r="H40" s="248"/>
      <c r="I40" s="248"/>
      <c r="J40" s="248"/>
      <c r="K40" s="407"/>
      <c r="L40" s="834">
        <f>+L38-L39</f>
        <v>0</v>
      </c>
    </row>
    <row r="41" spans="2:14" ht="21" customHeight="1">
      <c r="B41" s="248" t="s">
        <v>369</v>
      </c>
      <c r="C41" s="248"/>
      <c r="D41" s="248"/>
      <c r="E41" s="248"/>
      <c r="F41" s="248"/>
      <c r="G41" s="248"/>
      <c r="H41" s="248"/>
      <c r="I41" s="248"/>
      <c r="J41" s="248"/>
      <c r="K41" s="312"/>
      <c r="L41" s="777"/>
    </row>
    <row r="42" spans="2:14" ht="22.5" customHeight="1">
      <c r="B42" s="248"/>
      <c r="C42" s="1379" t="s">
        <v>365</v>
      </c>
      <c r="D42" s="1379"/>
      <c r="E42" s="1379"/>
      <c r="F42" s="1379"/>
      <c r="G42" s="1379"/>
      <c r="H42" s="838"/>
      <c r="I42" s="248"/>
      <c r="J42" s="248"/>
      <c r="K42" s="450"/>
      <c r="L42" s="777"/>
    </row>
    <row r="43" spans="2:14" ht="21" customHeight="1">
      <c r="B43" s="248"/>
      <c r="C43" s="248" t="s">
        <v>208</v>
      </c>
      <c r="D43" s="248"/>
      <c r="E43" s="248"/>
      <c r="F43" s="248"/>
      <c r="G43" s="248"/>
      <c r="H43" s="248"/>
      <c r="I43" s="248"/>
      <c r="J43" s="248"/>
      <c r="K43" s="450"/>
      <c r="L43" s="777"/>
      <c r="M43" s="301"/>
      <c r="N43" s="301"/>
    </row>
    <row r="44" spans="2:14" ht="21" customHeight="1" thickBot="1">
      <c r="B44" s="248"/>
      <c r="C44" s="248"/>
      <c r="D44" s="248" t="s">
        <v>367</v>
      </c>
      <c r="E44" s="248"/>
      <c r="F44" s="248"/>
      <c r="G44" s="248"/>
      <c r="H44" s="248"/>
      <c r="I44" s="248"/>
      <c r="J44" s="248"/>
      <c r="K44" s="837"/>
      <c r="L44" s="784">
        <f>SUM(K42:K43)</f>
        <v>0</v>
      </c>
    </row>
    <row r="45" spans="2:14" ht="21" customHeight="1" thickBot="1">
      <c r="B45" s="361" t="str">
        <f>"# MAY NOT BE ANTICIPATED AS NON-CASH SURPLUS IN "&amp;TEXT('KEY INPUTS'!D34,"0")&amp;" BUDGET."</f>
        <v># MAY NOT BE ANTICIPATED AS NON-CASH SURPLUS IN 2024 BUDGET.</v>
      </c>
      <c r="K45" s="360"/>
      <c r="L45" s="836">
        <f>+L40+L44</f>
        <v>0</v>
      </c>
      <c r="M45" s="301"/>
      <c r="N45" s="593" t="s">
        <v>3246</v>
      </c>
    </row>
    <row r="46" spans="2:14" ht="13.8" thickTop="1">
      <c r="B46" s="359" t="s">
        <v>213</v>
      </c>
      <c r="C46" s="359"/>
    </row>
    <row r="47" spans="2:14">
      <c r="B47" s="359"/>
      <c r="C47" s="359" t="s">
        <v>3160</v>
      </c>
    </row>
    <row r="52" spans="2:12" ht="13.8">
      <c r="B52" s="1353" t="s">
        <v>3159</v>
      </c>
      <c r="C52" s="1353"/>
      <c r="D52" s="1353"/>
      <c r="E52" s="1353"/>
      <c r="F52" s="1353"/>
      <c r="G52" s="1353"/>
      <c r="H52" s="1353"/>
      <c r="I52" s="1353"/>
      <c r="J52" s="1353"/>
      <c r="K52" s="1353"/>
      <c r="L52" s="1353"/>
    </row>
  </sheetData>
  <sheetProtection algorithmName="SHA-512" hashValue="ecVZG0mUwF/07KY/FTsDTmbFU3smzGG22NueoX5j/UQb48bWibfKaLTfulyekZSBxewsjUJkwTqeWjUxOcFoQQ==" saltValue="eP2xuT2HCnrhR+7b/jyuGw==" spinCount="100000"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DB2DF-DCA1-4AC4-BEA7-641980FD558E}">
  <sheetPr codeName="Sheet255">
    <tabColor theme="7" tint="0.39997558519241921"/>
  </sheetPr>
  <dimension ref="B3:T69"/>
  <sheetViews>
    <sheetView zoomScaleNormal="100" zoomScaleSheetLayoutView="80" workbookViewId="0">
      <selection activeCell="B55" sqref="B55"/>
    </sheetView>
  </sheetViews>
  <sheetFormatPr defaultColWidth="9.109375" defaultRowHeight="13.2"/>
  <cols>
    <col min="1" max="4" width="4.6640625" style="267" customWidth="1"/>
    <col min="5" max="8" width="9.109375" style="267"/>
    <col min="9" max="9" width="1.6640625" style="267" customWidth="1"/>
    <col min="10" max="10" width="16.6640625" style="267" customWidth="1"/>
    <col min="11" max="11" width="1.6640625" style="267" customWidth="1"/>
    <col min="12" max="12" width="16.6640625" style="267" customWidth="1"/>
    <col min="13" max="16384" width="9.109375" style="267"/>
  </cols>
  <sheetData>
    <row r="3" spans="2:20" ht="17.399999999999999">
      <c r="B3" s="1386" t="str">
        <f>"SCHEDULE  OF "&amp;UPPER('KEY INPUTS'!D58&amp;"  UTILITY  ACCOUNTS  RECEIVABLE")</f>
        <v>SCHEDULE  OF   UTILITY  ACCOUNTS  RECEIVABLE</v>
      </c>
      <c r="C3" s="1386"/>
      <c r="D3" s="1386"/>
      <c r="E3" s="1386"/>
      <c r="F3" s="1386"/>
      <c r="G3" s="1386"/>
      <c r="H3" s="1386"/>
      <c r="I3" s="1386"/>
      <c r="J3" s="1386"/>
      <c r="K3" s="1386"/>
      <c r="L3" s="1386"/>
    </row>
    <row r="6" spans="2:20">
      <c r="B6" s="367" t="str">
        <f>IF('KEY INPUTS'!C42="State Fiscal Year","Balance June 30, "&amp;'KEY INPUTS'!D33-1&amp;"","Balance December 31, "&amp;'KEY INPUTS'!D34-1&amp;"")</f>
        <v>Balance December 31, 2023</v>
      </c>
      <c r="J6" s="61"/>
      <c r="K6" s="267" t="s">
        <v>373</v>
      </c>
      <c r="L6" s="431"/>
      <c r="N6"/>
      <c r="O6"/>
      <c r="P6"/>
      <c r="Q6"/>
      <c r="R6"/>
      <c r="S6"/>
      <c r="T6"/>
    </row>
    <row r="7" spans="2:20">
      <c r="J7" s="61"/>
      <c r="K7" s="61"/>
      <c r="L7" s="61"/>
      <c r="N7"/>
      <c r="O7"/>
      <c r="P7"/>
      <c r="Q7"/>
      <c r="R7"/>
      <c r="S7"/>
      <c r="T7"/>
    </row>
    <row r="8" spans="2:20">
      <c r="J8" s="61"/>
      <c r="K8" s="61"/>
      <c r="L8" s="61"/>
      <c r="N8" s="294"/>
      <c r="O8"/>
      <c r="P8"/>
      <c r="Q8"/>
      <c r="R8"/>
      <c r="S8"/>
      <c r="T8"/>
    </row>
    <row r="9" spans="2:20">
      <c r="J9" s="61"/>
      <c r="K9" s="61"/>
      <c r="L9" s="61"/>
      <c r="N9"/>
      <c r="O9"/>
      <c r="P9"/>
      <c r="Q9"/>
      <c r="R9"/>
      <c r="S9"/>
      <c r="T9"/>
    </row>
    <row r="10" spans="2:20">
      <c r="B10" s="267" t="s">
        <v>214</v>
      </c>
      <c r="J10" s="61"/>
      <c r="K10" s="61"/>
      <c r="L10" s="61"/>
      <c r="N10"/>
      <c r="O10"/>
      <c r="P10"/>
      <c r="Q10"/>
      <c r="R10"/>
      <c r="S10"/>
      <c r="T10"/>
    </row>
    <row r="11" spans="2:20">
      <c r="D11" s="267" t="s">
        <v>3482</v>
      </c>
      <c r="J11" s="61"/>
      <c r="K11" s="267" t="s">
        <v>373</v>
      </c>
      <c r="L11" s="431"/>
      <c r="N11"/>
      <c r="O11"/>
      <c r="P11"/>
      <c r="Q11"/>
      <c r="R11"/>
      <c r="S11"/>
      <c r="T11"/>
    </row>
    <row r="12" spans="2:20">
      <c r="J12" s="61"/>
      <c r="K12" s="61"/>
      <c r="L12" s="61"/>
      <c r="N12"/>
      <c r="O12"/>
      <c r="P12"/>
      <c r="Q12"/>
      <c r="R12"/>
      <c r="S12"/>
      <c r="T12"/>
    </row>
    <row r="13" spans="2:20">
      <c r="J13" s="61"/>
      <c r="K13" s="61"/>
      <c r="L13" s="61"/>
      <c r="N13"/>
      <c r="O13"/>
      <c r="P13"/>
      <c r="Q13"/>
      <c r="R13"/>
      <c r="S13"/>
      <c r="T13"/>
    </row>
    <row r="14" spans="2:20">
      <c r="J14" s="61"/>
      <c r="K14" s="61"/>
      <c r="L14" s="61"/>
      <c r="N14"/>
      <c r="O14"/>
      <c r="P14"/>
      <c r="Q14"/>
      <c r="R14"/>
      <c r="S14"/>
      <c r="T14"/>
    </row>
    <row r="15" spans="2:20">
      <c r="B15" s="267" t="s">
        <v>215</v>
      </c>
      <c r="J15" s="61"/>
      <c r="K15" s="61"/>
      <c r="L15" s="61"/>
      <c r="N15"/>
      <c r="O15"/>
      <c r="P15"/>
      <c r="Q15"/>
      <c r="R15"/>
      <c r="S15"/>
      <c r="T15"/>
    </row>
    <row r="16" spans="2:20" ht="21" customHeight="1">
      <c r="D16" s="267" t="s">
        <v>216</v>
      </c>
      <c r="I16" s="267" t="s">
        <v>373</v>
      </c>
      <c r="J16" s="431"/>
      <c r="K16" s="61"/>
      <c r="L16" s="61"/>
      <c r="N16"/>
      <c r="O16"/>
      <c r="P16"/>
      <c r="Q16"/>
      <c r="R16"/>
      <c r="S16"/>
      <c r="T16"/>
    </row>
    <row r="17" spans="2:20" ht="21" customHeight="1">
      <c r="D17" s="267" t="s">
        <v>217</v>
      </c>
      <c r="I17" s="267" t="s">
        <v>373</v>
      </c>
      <c r="J17" s="431"/>
      <c r="K17" s="61"/>
      <c r="L17" s="61"/>
      <c r="N17"/>
      <c r="O17"/>
      <c r="P17"/>
      <c r="Q17"/>
      <c r="R17"/>
      <c r="S17"/>
      <c r="T17"/>
    </row>
    <row r="18" spans="2:20" ht="21" customHeight="1">
      <c r="D18" s="267" t="s">
        <v>3483</v>
      </c>
      <c r="I18" s="267" t="s">
        <v>373</v>
      </c>
      <c r="J18" s="431"/>
      <c r="K18" s="61"/>
      <c r="L18" s="61"/>
      <c r="N18"/>
      <c r="O18"/>
      <c r="P18"/>
      <c r="Q18"/>
      <c r="R18"/>
      <c r="S18"/>
      <c r="T18"/>
    </row>
    <row r="19" spans="2:20" ht="21" customHeight="1">
      <c r="D19" s="267" t="s">
        <v>218</v>
      </c>
      <c r="I19" s="267" t="s">
        <v>373</v>
      </c>
      <c r="J19" s="431"/>
      <c r="K19" s="61"/>
      <c r="L19" s="61"/>
      <c r="N19"/>
      <c r="O19"/>
      <c r="P19"/>
      <c r="Q19"/>
      <c r="R19"/>
      <c r="S19"/>
      <c r="T19"/>
    </row>
    <row r="20" spans="2:20">
      <c r="J20" s="61"/>
      <c r="K20" s="61"/>
      <c r="L20" s="61"/>
      <c r="N20"/>
      <c r="O20"/>
      <c r="P20"/>
      <c r="Q20"/>
      <c r="R20"/>
      <c r="S20"/>
      <c r="T20"/>
    </row>
    <row r="21" spans="2:20">
      <c r="J21" s="61"/>
      <c r="K21" s="267" t="s">
        <v>373</v>
      </c>
      <c r="L21" s="63">
        <f>SUM(J16:J19)</f>
        <v>0</v>
      </c>
      <c r="N21"/>
      <c r="O21"/>
      <c r="P21"/>
      <c r="Q21"/>
      <c r="R21"/>
      <c r="S21"/>
      <c r="T21"/>
    </row>
    <row r="22" spans="2:20">
      <c r="J22" s="61"/>
      <c r="K22" s="61"/>
      <c r="L22" s="61"/>
      <c r="N22"/>
      <c r="O22"/>
      <c r="P22"/>
      <c r="Q22"/>
      <c r="R22"/>
      <c r="S22"/>
      <c r="T22"/>
    </row>
    <row r="23" spans="2:20">
      <c r="J23" s="61"/>
      <c r="K23" s="61"/>
      <c r="L23" s="61"/>
    </row>
    <row r="24" spans="2:20" ht="13.8" thickBot="1">
      <c r="B24" s="367" t="str">
        <f>IF('KEY INPUTS'!C42="State Fiscal Year","Balance June 30, "&amp;'KEY INPUTS'!D33&amp;"","Balance December 31, "&amp;'KEY INPUTS'!D34&amp;"")</f>
        <v>Balance December 31, 2024</v>
      </c>
      <c r="J24" s="61"/>
      <c r="K24" s="267" t="s">
        <v>373</v>
      </c>
      <c r="L24" s="80">
        <f>+L6+L11-L21</f>
        <v>0</v>
      </c>
    </row>
    <row r="25" spans="2:20" ht="13.8" thickTop="1"/>
    <row r="28" spans="2:20">
      <c r="B28" s="333"/>
      <c r="C28" s="333"/>
      <c r="D28" s="333"/>
      <c r="E28" s="333"/>
      <c r="F28" s="333"/>
      <c r="G28" s="333"/>
      <c r="H28" s="333"/>
      <c r="I28" s="333"/>
      <c r="J28" s="333"/>
      <c r="K28" s="333"/>
      <c r="L28" s="333"/>
    </row>
    <row r="29" spans="2:20" ht="4.5" customHeight="1">
      <c r="B29" s="333"/>
      <c r="C29" s="333"/>
      <c r="D29" s="333"/>
      <c r="E29" s="333"/>
      <c r="F29" s="333"/>
      <c r="G29" s="333"/>
      <c r="H29" s="333"/>
      <c r="I29" s="333"/>
      <c r="J29" s="333"/>
      <c r="K29" s="333"/>
      <c r="L29" s="333"/>
    </row>
    <row r="33" spans="2:12" ht="17.399999999999999">
      <c r="B33" s="1380" t="str">
        <f>"SCHEDULE  OF "&amp;UPPER('KEY INPUTS'!D58)&amp;" UTILITY  LIENS"</f>
        <v>SCHEDULE  OF  UTILITY  LIENS</v>
      </c>
      <c r="C33" s="1380"/>
      <c r="D33" s="1380"/>
      <c r="E33" s="1380"/>
      <c r="F33" s="1380"/>
      <c r="G33" s="1380"/>
      <c r="H33" s="1380"/>
      <c r="I33" s="1380"/>
      <c r="J33" s="1380"/>
      <c r="K33" s="1380"/>
      <c r="L33" s="1380"/>
    </row>
    <row r="36" spans="2:12">
      <c r="B36" s="367" t="str">
        <f>IF('KEY INPUTS'!C42="State Fiscal Year","Balance June 30, "&amp;'KEY INPUTS'!D33-1&amp;"","Balance December 31, "&amp;'KEY INPUTS'!D34-1&amp;"")</f>
        <v>Balance December 31, 2023</v>
      </c>
      <c r="I36" s="61"/>
      <c r="J36" s="61"/>
      <c r="K36" s="61" t="s">
        <v>373</v>
      </c>
      <c r="L36" s="431"/>
    </row>
    <row r="37" spans="2:12">
      <c r="I37" s="61"/>
      <c r="J37" s="61"/>
      <c r="K37" s="61"/>
      <c r="L37" s="61"/>
    </row>
    <row r="38" spans="2:12">
      <c r="I38" s="61"/>
      <c r="J38" s="61"/>
      <c r="K38" s="61"/>
      <c r="L38" s="61"/>
    </row>
    <row r="39" spans="2:12">
      <c r="I39" s="61"/>
      <c r="J39" s="61"/>
      <c r="K39" s="61"/>
      <c r="L39" s="61"/>
    </row>
    <row r="40" spans="2:12">
      <c r="B40" s="267" t="s">
        <v>214</v>
      </c>
      <c r="I40" s="61"/>
      <c r="J40" s="61"/>
      <c r="K40" s="61"/>
      <c r="L40" s="61"/>
    </row>
    <row r="41" spans="2:12" ht="21" customHeight="1">
      <c r="D41" s="267" t="s">
        <v>219</v>
      </c>
      <c r="I41" s="267" t="s">
        <v>373</v>
      </c>
      <c r="J41" s="431"/>
      <c r="K41" s="61"/>
      <c r="L41" s="61"/>
    </row>
    <row r="42" spans="2:12" ht="21" customHeight="1">
      <c r="D42" s="267" t="s">
        <v>220</v>
      </c>
      <c r="I42" s="267" t="s">
        <v>373</v>
      </c>
      <c r="J42" s="431"/>
      <c r="K42" s="61"/>
      <c r="L42" s="61"/>
    </row>
    <row r="43" spans="2:12" ht="21" customHeight="1">
      <c r="D43" s="267" t="s">
        <v>218</v>
      </c>
      <c r="I43" s="267" t="s">
        <v>373</v>
      </c>
      <c r="J43" s="431"/>
      <c r="K43" s="119"/>
      <c r="L43" s="119"/>
    </row>
    <row r="44" spans="2:12">
      <c r="I44" s="61"/>
      <c r="J44" s="61"/>
      <c r="K44" s="61"/>
      <c r="L44" s="61"/>
    </row>
    <row r="45" spans="2:12">
      <c r="I45" s="61"/>
      <c r="J45" s="61"/>
      <c r="K45" s="267" t="s">
        <v>373</v>
      </c>
      <c r="L45" s="63">
        <f>SUM(J41:J43)</f>
        <v>0</v>
      </c>
    </row>
    <row r="46" spans="2:12">
      <c r="I46" s="61"/>
      <c r="J46" s="61"/>
      <c r="K46" s="61"/>
      <c r="L46" s="61"/>
    </row>
    <row r="47" spans="2:12">
      <c r="B47" s="267" t="s">
        <v>215</v>
      </c>
      <c r="I47" s="61"/>
      <c r="J47" s="61"/>
      <c r="K47" s="61"/>
      <c r="L47" s="61"/>
    </row>
    <row r="48" spans="2:12" ht="21" customHeight="1">
      <c r="D48" s="267" t="s">
        <v>216</v>
      </c>
      <c r="I48" s="267" t="s">
        <v>373</v>
      </c>
      <c r="J48" s="431"/>
      <c r="K48" s="61"/>
      <c r="L48" s="61"/>
    </row>
    <row r="49" spans="2:12" ht="21" customHeight="1">
      <c r="D49" s="267" t="s">
        <v>218</v>
      </c>
      <c r="I49" s="267" t="s">
        <v>373</v>
      </c>
      <c r="J49" s="431"/>
      <c r="K49" s="61"/>
      <c r="L49" s="61"/>
    </row>
    <row r="50" spans="2:12">
      <c r="I50" s="61"/>
      <c r="J50" s="61"/>
      <c r="K50" s="61"/>
      <c r="L50" s="61"/>
    </row>
    <row r="51" spans="2:12">
      <c r="I51" s="61"/>
      <c r="J51" s="61"/>
      <c r="K51" s="267" t="s">
        <v>373</v>
      </c>
      <c r="L51" s="63">
        <f>+J49+J48</f>
        <v>0</v>
      </c>
    </row>
    <row r="52" spans="2:12">
      <c r="I52" s="61"/>
      <c r="J52" s="61"/>
      <c r="K52" s="61"/>
      <c r="L52" s="61"/>
    </row>
    <row r="53" spans="2:12">
      <c r="I53" s="61"/>
      <c r="J53" s="61"/>
      <c r="K53" s="61"/>
      <c r="L53" s="61"/>
    </row>
    <row r="54" spans="2:12" ht="13.8" thickBot="1">
      <c r="B54" s="367" t="str">
        <f>IF('KEY INPUTS'!C42="State Fiscal Year","Balance June 30, "&amp;'KEY INPUTS'!D33&amp;"","Balance December 31, "&amp;'KEY INPUTS'!D34&amp;"")</f>
        <v>Balance December 31, 2024</v>
      </c>
      <c r="I54" s="61"/>
      <c r="J54" s="61"/>
      <c r="K54" s="267" t="s">
        <v>373</v>
      </c>
      <c r="L54" s="80">
        <f>+L36+L45-L51</f>
        <v>0</v>
      </c>
    </row>
    <row r="55" spans="2:12" ht="13.8" thickTop="1">
      <c r="I55" s="61"/>
      <c r="J55" s="61"/>
      <c r="K55" s="61"/>
      <c r="L55" s="61"/>
    </row>
    <row r="69" spans="2:12" ht="13.8">
      <c r="B69" s="1353" t="s">
        <v>3163</v>
      </c>
      <c r="C69" s="1353"/>
      <c r="D69" s="1353"/>
      <c r="E69" s="1353"/>
      <c r="F69" s="1353"/>
      <c r="G69" s="1353"/>
      <c r="H69" s="1353"/>
      <c r="I69" s="1353"/>
      <c r="J69" s="1353"/>
      <c r="K69" s="1353"/>
      <c r="L69" s="1353"/>
    </row>
  </sheetData>
  <sheetProtection algorithmName="SHA-512" hashValue="cMFgjbWhxcC6Xwc73C8kcs2HRnKax8naBCF7iZHM6cNXZds2lStlX7jKj3ltQ40g229HtvrxAJXlSEM7RKMnAQ==" saltValue="XuNbNRJRdJt7vLlb6Nh/xQ=="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48C9E-BB0F-477E-BF3F-560A772F8ACA}">
  <sheetPr codeName="Sheet256">
    <tabColor theme="7" tint="0.39997558519241921"/>
  </sheetPr>
  <dimension ref="B3:W69"/>
  <sheetViews>
    <sheetView topLeftCell="A11" zoomScaleNormal="100" zoomScaleSheetLayoutView="80" workbookViewId="0">
      <selection activeCell="N45" sqref="N45"/>
    </sheetView>
  </sheetViews>
  <sheetFormatPr defaultColWidth="9.109375" defaultRowHeight="13.2"/>
  <cols>
    <col min="1" max="4" width="4.6640625" style="267" customWidth="1"/>
    <col min="5" max="6" width="9.109375" style="267"/>
    <col min="7" max="7" width="1.6640625" style="267" customWidth="1"/>
    <col min="8" max="8" width="14.6640625" style="267" customWidth="1"/>
    <col min="9" max="9" width="1.6640625" style="267" customWidth="1"/>
    <col min="10" max="10" width="14.6640625" style="267" customWidth="1"/>
    <col min="11" max="11" width="1.6640625" style="267" customWidth="1"/>
    <col min="12" max="12" width="14.6640625" style="267" customWidth="1"/>
    <col min="13" max="13" width="1.6640625" style="267" customWidth="1"/>
    <col min="14" max="14" width="14.6640625" style="267" customWidth="1"/>
    <col min="15" max="16384" width="9.109375" style="267"/>
  </cols>
  <sheetData>
    <row r="3" spans="2:23" ht="20.399999999999999">
      <c r="B3" s="1363" t="s">
        <v>868</v>
      </c>
      <c r="C3" s="1363"/>
      <c r="D3" s="1363"/>
      <c r="E3" s="1363"/>
      <c r="F3" s="1363"/>
      <c r="G3" s="1363"/>
      <c r="H3" s="1363"/>
      <c r="I3" s="1363"/>
      <c r="J3" s="1363"/>
      <c r="K3" s="1363"/>
      <c r="L3" s="1363"/>
      <c r="M3" s="1363"/>
      <c r="N3" s="1363"/>
    </row>
    <row r="4" spans="2:23" ht="15.6">
      <c r="B4" s="1391" t="s">
        <v>421</v>
      </c>
      <c r="C4" s="1391"/>
      <c r="D4" s="1391"/>
      <c r="E4" s="1391"/>
      <c r="F4" s="1391"/>
      <c r="G4" s="1391"/>
      <c r="H4" s="1391"/>
      <c r="I4" s="1391"/>
      <c r="J4" s="1391"/>
      <c r="K4" s="1391"/>
      <c r="L4" s="1391"/>
      <c r="M4" s="1391"/>
      <c r="N4" s="1391"/>
    </row>
    <row r="5" spans="2:23" ht="20.399999999999999">
      <c r="B5" s="1363" t="str">
        <f>UPPER('KEY INPUTS'!D58)&amp;" UTILITY  FUND"</f>
        <v xml:space="preserve"> UTILITY  FUND</v>
      </c>
      <c r="C5" s="1363"/>
      <c r="D5" s="1363"/>
      <c r="E5" s="1363"/>
      <c r="F5" s="1363"/>
      <c r="G5" s="1363"/>
      <c r="H5" s="1363"/>
      <c r="I5" s="1363"/>
      <c r="J5" s="1363"/>
      <c r="K5" s="1363"/>
      <c r="L5" s="1363"/>
      <c r="M5" s="1363"/>
      <c r="N5" s="1363"/>
    </row>
    <row r="6" spans="2:23">
      <c r="B6" s="1392" t="s">
        <v>3572</v>
      </c>
      <c r="C6" s="1392"/>
      <c r="D6" s="1392"/>
      <c r="E6" s="1392"/>
      <c r="F6" s="1392"/>
      <c r="G6" s="1392"/>
      <c r="H6" s="1392"/>
      <c r="I6" s="1392"/>
      <c r="J6" s="1392"/>
      <c r="K6" s="1392"/>
      <c r="L6" s="1392"/>
      <c r="M6" s="1392"/>
      <c r="N6" s="1392"/>
    </row>
    <row r="8" spans="2:23">
      <c r="H8" s="302" t="s">
        <v>414</v>
      </c>
    </row>
    <row r="9" spans="2:23">
      <c r="C9" s="1389" t="s">
        <v>434</v>
      </c>
      <c r="D9" s="1389"/>
      <c r="E9" s="1389"/>
      <c r="H9" s="374" t="str">
        <f>IF('KEY INPUTS'!C42 = "State Fiscal Year", 'KEY INPUTS'!F46,'KEY INPUTS'!D46)</f>
        <v>Dec. 31, 2023</v>
      </c>
      <c r="J9" s="302" t="s">
        <v>435</v>
      </c>
      <c r="L9" s="302" t="s">
        <v>414</v>
      </c>
      <c r="N9" s="302" t="s">
        <v>529</v>
      </c>
    </row>
    <row r="10" spans="2:23">
      <c r="H10" s="302" t="s">
        <v>433</v>
      </c>
      <c r="J10" s="302" t="str">
        <f>IF('KEY INPUTS'!C42="State Fiscal Year","Fiscal Year "&amp;'KEY INPUTS'!D33&amp;"",'KEY INPUTS'!D34)&amp;""</f>
        <v>2024</v>
      </c>
      <c r="L10" s="302" t="s">
        <v>436</v>
      </c>
      <c r="N10" s="302" t="s">
        <v>437</v>
      </c>
    </row>
    <row r="11" spans="2:23">
      <c r="H11" s="369" t="s">
        <v>432</v>
      </c>
      <c r="J11" s="369" t="s">
        <v>534</v>
      </c>
      <c r="L11" s="369" t="str">
        <f>IF('KEY INPUTS'!C42="State Fiscal Year","Fiscal Year "&amp;'KEY INPUTS'!D33&amp;"",'KEY INPUTS'!D34)&amp;""</f>
        <v>2024</v>
      </c>
      <c r="N11" s="373" t="str">
        <f>IF('KEY INPUTS'!C42 = "State Fiscal Year", 'KEY INPUTS'!F47,'KEY INPUTS'!D47)</f>
        <v>Dec. 31, 2024</v>
      </c>
      <c r="Q11"/>
      <c r="R11"/>
      <c r="S11"/>
      <c r="T11"/>
      <c r="U11"/>
      <c r="V11"/>
      <c r="W11"/>
    </row>
    <row r="12" spans="2:23">
      <c r="B12" s="368" t="s">
        <v>292</v>
      </c>
      <c r="C12" s="267" t="s">
        <v>869</v>
      </c>
      <c r="Q12"/>
      <c r="R12"/>
      <c r="S12"/>
      <c r="T12"/>
      <c r="U12"/>
      <c r="V12"/>
      <c r="W12"/>
    </row>
    <row r="13" spans="2:23">
      <c r="B13" s="368"/>
      <c r="D13" s="267" t="s">
        <v>870</v>
      </c>
      <c r="G13" s="267" t="s">
        <v>373</v>
      </c>
      <c r="H13" s="431"/>
      <c r="I13" s="267" t="s">
        <v>373</v>
      </c>
      <c r="J13" s="431"/>
      <c r="K13" s="267" t="s">
        <v>373</v>
      </c>
      <c r="L13" s="431"/>
      <c r="M13" s="267" t="s">
        <v>373</v>
      </c>
      <c r="N13" s="515">
        <f>+H13-J13+L13</f>
        <v>0</v>
      </c>
      <c r="Q13" s="294"/>
      <c r="R13"/>
      <c r="S13"/>
      <c r="T13"/>
      <c r="U13"/>
      <c r="V13"/>
      <c r="W13"/>
    </row>
    <row r="14" spans="2:23">
      <c r="B14" s="368"/>
      <c r="H14" s="61"/>
      <c r="J14" s="61"/>
      <c r="L14" s="61"/>
      <c r="Q14"/>
      <c r="R14"/>
      <c r="S14"/>
      <c r="T14"/>
      <c r="U14"/>
      <c r="V14"/>
      <c r="W14"/>
    </row>
    <row r="15" spans="2:23" ht="21" customHeight="1">
      <c r="B15" s="368" t="s">
        <v>293</v>
      </c>
      <c r="C15" s="514" t="s">
        <v>3131</v>
      </c>
      <c r="D15" s="514"/>
      <c r="E15" s="514"/>
      <c r="F15" s="514"/>
      <c r="G15" s="267" t="s">
        <v>373</v>
      </c>
      <c r="H15" s="431"/>
      <c r="I15" s="267" t="s">
        <v>373</v>
      </c>
      <c r="J15" s="431"/>
      <c r="K15" s="267" t="s">
        <v>373</v>
      </c>
      <c r="L15" s="431"/>
      <c r="M15" s="267" t="s">
        <v>373</v>
      </c>
      <c r="N15" s="515">
        <f>+H15-J15+L15</f>
        <v>0</v>
      </c>
      <c r="Q15"/>
      <c r="R15"/>
      <c r="S15"/>
      <c r="T15"/>
      <c r="U15"/>
      <c r="V15"/>
      <c r="W15"/>
    </row>
    <row r="16" spans="2:23" ht="21" customHeight="1">
      <c r="B16" s="368" t="s">
        <v>294</v>
      </c>
      <c r="C16" s="514"/>
      <c r="D16" s="514"/>
      <c r="E16" s="514"/>
      <c r="F16" s="514"/>
      <c r="G16" s="267" t="s">
        <v>373</v>
      </c>
      <c r="H16" s="431"/>
      <c r="I16" s="267" t="s">
        <v>373</v>
      </c>
      <c r="J16" s="431"/>
      <c r="K16" s="267" t="s">
        <v>373</v>
      </c>
      <c r="L16" s="431"/>
      <c r="M16" s="267" t="s">
        <v>373</v>
      </c>
      <c r="N16" s="515">
        <f>+H16-J16+L16</f>
        <v>0</v>
      </c>
      <c r="Q16"/>
      <c r="R16"/>
      <c r="S16"/>
      <c r="T16"/>
      <c r="U16"/>
      <c r="V16"/>
      <c r="W16"/>
    </row>
    <row r="17" spans="2:23" ht="21" customHeight="1">
      <c r="B17" s="368" t="s">
        <v>295</v>
      </c>
      <c r="C17" s="514"/>
      <c r="D17" s="514"/>
      <c r="E17" s="514"/>
      <c r="F17" s="514"/>
      <c r="G17" s="267" t="s">
        <v>373</v>
      </c>
      <c r="H17" s="431"/>
      <c r="I17" s="267" t="s">
        <v>373</v>
      </c>
      <c r="J17" s="431"/>
      <c r="K17" s="267" t="s">
        <v>373</v>
      </c>
      <c r="L17" s="431"/>
      <c r="M17" s="267" t="s">
        <v>373</v>
      </c>
      <c r="N17" s="515">
        <f t="shared" ref="N17:N23" si="0">+H17-J17+L17</f>
        <v>0</v>
      </c>
      <c r="Q17"/>
      <c r="R17"/>
      <c r="S17"/>
      <c r="T17"/>
      <c r="U17"/>
      <c r="V17"/>
      <c r="W17"/>
    </row>
    <row r="18" spans="2:23" ht="21" customHeight="1">
      <c r="B18" s="368" t="s">
        <v>296</v>
      </c>
      <c r="C18" s="514"/>
      <c r="D18" s="514"/>
      <c r="E18" s="514"/>
      <c r="F18" s="514"/>
      <c r="G18" s="267" t="s">
        <v>373</v>
      </c>
      <c r="H18" s="431"/>
      <c r="I18" s="267" t="s">
        <v>373</v>
      </c>
      <c r="J18" s="431"/>
      <c r="K18" s="267" t="s">
        <v>373</v>
      </c>
      <c r="L18" s="431"/>
      <c r="M18" s="267" t="s">
        <v>373</v>
      </c>
      <c r="N18" s="515">
        <f t="shared" si="0"/>
        <v>0</v>
      </c>
      <c r="Q18"/>
      <c r="R18"/>
      <c r="S18"/>
      <c r="T18"/>
      <c r="U18"/>
      <c r="V18"/>
      <c r="W18"/>
    </row>
    <row r="19" spans="2:23" ht="21" customHeight="1">
      <c r="B19" s="368"/>
      <c r="C19" s="840" t="s">
        <v>3207</v>
      </c>
      <c r="D19" s="840"/>
      <c r="E19" s="840"/>
      <c r="F19" s="840"/>
      <c r="G19" s="574" t="s">
        <v>373</v>
      </c>
      <c r="H19" s="431"/>
      <c r="I19" s="574" t="s">
        <v>373</v>
      </c>
      <c r="J19" s="431"/>
      <c r="K19" s="574" t="s">
        <v>373</v>
      </c>
      <c r="L19" s="431"/>
      <c r="M19" s="267" t="s">
        <v>373</v>
      </c>
      <c r="N19" s="515">
        <f t="shared" si="0"/>
        <v>0</v>
      </c>
      <c r="Q19"/>
      <c r="R19"/>
      <c r="S19"/>
      <c r="T19"/>
      <c r="U19"/>
      <c r="V19"/>
      <c r="W19"/>
    </row>
    <row r="20" spans="2:23" ht="21" customHeight="1">
      <c r="B20" s="368"/>
      <c r="C20" s="907" t="s">
        <v>3208</v>
      </c>
      <c r="D20" s="840"/>
      <c r="E20" s="840"/>
      <c r="F20" s="840"/>
      <c r="G20" s="574" t="s">
        <v>373</v>
      </c>
      <c r="H20" s="839">
        <f>H13+H15+H16+H17+H18+H19</f>
        <v>0</v>
      </c>
      <c r="I20" s="574" t="s">
        <v>373</v>
      </c>
      <c r="J20" s="839">
        <f>J13+J15+J16+J17+J18+J19</f>
        <v>0</v>
      </c>
      <c r="K20" s="574" t="s">
        <v>373</v>
      </c>
      <c r="L20" s="839">
        <f>L13+L15+L16+L17+L18+L19</f>
        <v>0</v>
      </c>
      <c r="M20" s="267" t="s">
        <v>373</v>
      </c>
      <c r="N20" s="839">
        <f>N13+N15+N16+N17+N18+N19</f>
        <v>0</v>
      </c>
      <c r="Q20"/>
      <c r="R20"/>
      <c r="S20"/>
      <c r="T20"/>
      <c r="U20"/>
      <c r="V20"/>
      <c r="W20"/>
    </row>
    <row r="21" spans="2:23" ht="21" customHeight="1">
      <c r="B21" s="368" t="s">
        <v>297</v>
      </c>
      <c r="C21" s="514"/>
      <c r="D21" s="514"/>
      <c r="E21" s="514"/>
      <c r="F21" s="514"/>
      <c r="G21" s="267" t="s">
        <v>373</v>
      </c>
      <c r="H21" s="431"/>
      <c r="I21" s="267" t="s">
        <v>373</v>
      </c>
      <c r="J21" s="431"/>
      <c r="K21" s="267" t="s">
        <v>373</v>
      </c>
      <c r="L21" s="431"/>
      <c r="M21" s="267" t="s">
        <v>373</v>
      </c>
      <c r="N21" s="515">
        <f t="shared" si="0"/>
        <v>0</v>
      </c>
      <c r="Q21"/>
      <c r="R21"/>
      <c r="S21"/>
      <c r="T21"/>
      <c r="U21"/>
      <c r="V21"/>
      <c r="W21"/>
    </row>
    <row r="22" spans="2:23" ht="21" customHeight="1">
      <c r="B22" s="368" t="s">
        <v>298</v>
      </c>
      <c r="C22" s="514"/>
      <c r="D22" s="514"/>
      <c r="E22" s="514"/>
      <c r="F22" s="514"/>
      <c r="G22" s="267" t="s">
        <v>373</v>
      </c>
      <c r="H22" s="431"/>
      <c r="I22" s="267" t="s">
        <v>373</v>
      </c>
      <c r="J22" s="431"/>
      <c r="K22" s="267" t="s">
        <v>373</v>
      </c>
      <c r="L22" s="431"/>
      <c r="M22" s="267" t="s">
        <v>373</v>
      </c>
      <c r="N22" s="515">
        <f t="shared" si="0"/>
        <v>0</v>
      </c>
      <c r="Q22"/>
      <c r="R22"/>
      <c r="S22"/>
      <c r="T22"/>
      <c r="U22"/>
      <c r="V22"/>
      <c r="W22"/>
    </row>
    <row r="23" spans="2:23" ht="21" customHeight="1">
      <c r="B23" s="368"/>
      <c r="C23" s="907" t="s">
        <v>3480</v>
      </c>
      <c r="D23" s="840"/>
      <c r="E23" s="840"/>
      <c r="F23" s="840"/>
      <c r="G23" s="574" t="s">
        <v>373</v>
      </c>
      <c r="H23" s="839">
        <f>H21+H22</f>
        <v>0</v>
      </c>
      <c r="I23" s="574" t="s">
        <v>373</v>
      </c>
      <c r="J23" s="839">
        <f>J21+J22</f>
        <v>0</v>
      </c>
      <c r="K23" s="574" t="s">
        <v>373</v>
      </c>
      <c r="L23" s="839">
        <f>L21+L22</f>
        <v>0</v>
      </c>
      <c r="M23" s="267" t="s">
        <v>373</v>
      </c>
      <c r="N23" s="515">
        <f t="shared" si="0"/>
        <v>0</v>
      </c>
      <c r="Q23"/>
      <c r="R23"/>
      <c r="S23"/>
      <c r="T23"/>
      <c r="U23"/>
      <c r="V23"/>
      <c r="W23"/>
    </row>
    <row r="24" spans="2:23">
      <c r="B24" s="368"/>
      <c r="Q24"/>
      <c r="R24"/>
      <c r="S24"/>
      <c r="T24"/>
      <c r="U24"/>
      <c r="V24"/>
      <c r="W24"/>
    </row>
    <row r="25" spans="2:23">
      <c r="B25" s="368"/>
      <c r="C25" s="267" t="s">
        <v>872</v>
      </c>
      <c r="Q25"/>
      <c r="R25"/>
      <c r="S25"/>
      <c r="T25"/>
      <c r="U25"/>
      <c r="V25"/>
      <c r="W25"/>
    </row>
    <row r="26" spans="2:23">
      <c r="B26" s="368"/>
      <c r="Q26"/>
      <c r="R26"/>
      <c r="S26"/>
      <c r="T26"/>
      <c r="U26"/>
      <c r="V26"/>
      <c r="W26"/>
    </row>
    <row r="27" spans="2:23">
      <c r="B27" s="368"/>
      <c r="Q27"/>
      <c r="R27"/>
      <c r="S27"/>
      <c r="T27"/>
      <c r="U27"/>
      <c r="V27"/>
      <c r="W27"/>
    </row>
    <row r="28" spans="2:23" ht="15.6">
      <c r="B28" s="1388" t="s">
        <v>3354</v>
      </c>
      <c r="C28" s="1388"/>
      <c r="D28" s="1388"/>
      <c r="E28" s="1388"/>
      <c r="F28" s="1388"/>
      <c r="G28" s="1388"/>
      <c r="H28" s="1388"/>
      <c r="I28" s="1388"/>
      <c r="J28" s="1388"/>
      <c r="K28" s="1388"/>
      <c r="L28" s="1388"/>
      <c r="M28" s="1388"/>
      <c r="N28" s="1388"/>
    </row>
    <row r="29" spans="2:23" ht="15.6">
      <c r="B29" s="1388" t="s">
        <v>3573</v>
      </c>
      <c r="C29" s="1388"/>
      <c r="D29" s="1388"/>
      <c r="E29" s="1388"/>
      <c r="F29" s="1388"/>
      <c r="G29" s="1388"/>
      <c r="H29" s="1388"/>
      <c r="I29" s="1388"/>
      <c r="J29" s="1388"/>
      <c r="K29" s="1388"/>
      <c r="L29" s="1388"/>
      <c r="M29" s="1388"/>
      <c r="N29" s="1388"/>
    </row>
    <row r="30" spans="2:23" ht="6.75" customHeight="1">
      <c r="B30" s="372"/>
      <c r="C30" s="372"/>
      <c r="D30" s="372"/>
      <c r="E30" s="372"/>
      <c r="F30" s="372"/>
      <c r="G30" s="372"/>
      <c r="H30" s="372"/>
      <c r="I30" s="372"/>
      <c r="J30" s="372"/>
      <c r="K30" s="372"/>
      <c r="L30" s="372"/>
      <c r="M30" s="372"/>
      <c r="N30" s="372"/>
    </row>
    <row r="31" spans="2:23" ht="18" customHeight="1">
      <c r="B31" s="368"/>
      <c r="D31" s="1390" t="s">
        <v>17</v>
      </c>
      <c r="E31" s="1390"/>
      <c r="F31" s="371"/>
      <c r="G31" s="1390" t="s">
        <v>413</v>
      </c>
      <c r="H31" s="1390"/>
      <c r="I31" s="1390"/>
      <c r="J31" s="1390"/>
      <c r="K31" s="1390"/>
      <c r="L31" s="1390"/>
      <c r="M31" s="371"/>
      <c r="N31" s="370" t="s">
        <v>414</v>
      </c>
    </row>
    <row r="32" spans="2:23" ht="21" customHeight="1">
      <c r="B32" s="368"/>
      <c r="C32" s="368" t="s">
        <v>292</v>
      </c>
      <c r="D32" s="514"/>
      <c r="E32" s="514"/>
      <c r="G32" s="514"/>
      <c r="H32" s="514"/>
      <c r="I32" s="514"/>
      <c r="J32" s="514"/>
      <c r="K32" s="514"/>
      <c r="L32" s="514"/>
      <c r="M32" s="267" t="s">
        <v>373</v>
      </c>
      <c r="N32" s="293"/>
    </row>
    <row r="33" spans="2:14" ht="21" customHeight="1">
      <c r="B33" s="368"/>
      <c r="C33" s="368" t="s">
        <v>293</v>
      </c>
      <c r="D33" s="514"/>
      <c r="E33" s="514"/>
      <c r="G33" s="514"/>
      <c r="H33" s="514"/>
      <c r="I33" s="514"/>
      <c r="J33" s="514"/>
      <c r="K33" s="514"/>
      <c r="L33" s="514"/>
      <c r="M33" s="267" t="s">
        <v>373</v>
      </c>
      <c r="N33" s="293"/>
    </row>
    <row r="34" spans="2:14" ht="21" customHeight="1">
      <c r="B34" s="368"/>
      <c r="C34" s="368" t="s">
        <v>294</v>
      </c>
      <c r="D34" s="514"/>
      <c r="E34" s="514"/>
      <c r="G34" s="514"/>
      <c r="H34" s="514"/>
      <c r="I34" s="514"/>
      <c r="J34" s="514"/>
      <c r="K34" s="514"/>
      <c r="L34" s="514"/>
      <c r="M34" s="267" t="s">
        <v>373</v>
      </c>
      <c r="N34" s="293"/>
    </row>
    <row r="35" spans="2:14" ht="21" customHeight="1">
      <c r="B35" s="368"/>
      <c r="C35" s="368" t="s">
        <v>295</v>
      </c>
      <c r="D35" s="514"/>
      <c r="E35" s="514"/>
      <c r="G35" s="514"/>
      <c r="H35" s="514"/>
      <c r="I35" s="514"/>
      <c r="J35" s="514"/>
      <c r="K35" s="514"/>
      <c r="L35" s="514"/>
      <c r="M35" s="267" t="s">
        <v>373</v>
      </c>
      <c r="N35" s="293"/>
    </row>
    <row r="36" spans="2:14" ht="21" customHeight="1">
      <c r="B36" s="368"/>
      <c r="C36" s="368" t="s">
        <v>296</v>
      </c>
      <c r="D36" s="514"/>
      <c r="E36" s="514"/>
      <c r="G36" s="514"/>
      <c r="H36" s="514"/>
      <c r="I36" s="514"/>
      <c r="J36" s="514"/>
      <c r="K36" s="514"/>
      <c r="L36" s="514"/>
      <c r="M36" s="267" t="s">
        <v>373</v>
      </c>
      <c r="N36" s="293"/>
    </row>
    <row r="37" spans="2:14">
      <c r="B37" s="368"/>
    </row>
    <row r="38" spans="2:14">
      <c r="B38" s="368"/>
    </row>
    <row r="39" spans="2:14">
      <c r="B39" s="368"/>
    </row>
    <row r="40" spans="2:14" ht="15.6">
      <c r="B40" s="1388" t="s">
        <v>250</v>
      </c>
      <c r="C40" s="1388"/>
      <c r="D40" s="1388"/>
      <c r="E40" s="1388"/>
      <c r="F40" s="1388"/>
      <c r="G40" s="1388"/>
      <c r="H40" s="1388"/>
      <c r="I40" s="1388"/>
      <c r="J40" s="1388"/>
      <c r="K40" s="1388"/>
      <c r="L40" s="1388"/>
      <c r="M40" s="1388"/>
      <c r="N40" s="1388"/>
    </row>
    <row r="41" spans="2:14">
      <c r="B41" s="368"/>
    </row>
    <row r="42" spans="2:14">
      <c r="B42" s="368"/>
      <c r="N42" s="302" t="s">
        <v>419</v>
      </c>
    </row>
    <row r="43" spans="2:14">
      <c r="B43" s="368"/>
      <c r="N43" s="302" t="s">
        <v>420</v>
      </c>
    </row>
    <row r="44" spans="2:14">
      <c r="B44" s="368"/>
      <c r="D44" s="1389" t="s">
        <v>416</v>
      </c>
      <c r="E44" s="1389"/>
      <c r="H44" s="1389" t="s">
        <v>417</v>
      </c>
      <c r="I44" s="1389"/>
      <c r="J44" s="369" t="s">
        <v>418</v>
      </c>
      <c r="L44" s="369" t="s">
        <v>414</v>
      </c>
      <c r="N44" s="369" t="str">
        <f>IF('KEY INPUTS'!C42="State Fiscal Year","Fiscal Year "&amp;'KEY INPUTS'!D33&amp;"",'KEY INPUTS'!D34)&amp;""</f>
        <v>2024</v>
      </c>
    </row>
    <row r="45" spans="2:14">
      <c r="B45" s="368"/>
      <c r="D45" s="513"/>
      <c r="E45" s="513"/>
      <c r="F45" s="513"/>
      <c r="G45" s="513"/>
      <c r="H45" s="513"/>
      <c r="I45" s="513"/>
      <c r="J45" s="513"/>
    </row>
    <row r="46" spans="2:14" ht="21" customHeight="1">
      <c r="B46" s="368"/>
      <c r="C46" s="368" t="s">
        <v>292</v>
      </c>
      <c r="D46" s="514"/>
      <c r="E46" s="514"/>
      <c r="F46" s="514"/>
      <c r="G46" s="514"/>
      <c r="H46" s="514"/>
      <c r="I46" s="514"/>
      <c r="J46" s="514"/>
      <c r="K46" s="267" t="s">
        <v>373</v>
      </c>
      <c r="L46" s="293"/>
      <c r="M46" s="513"/>
      <c r="N46" s="293"/>
    </row>
    <row r="47" spans="2:14" ht="21" customHeight="1">
      <c r="B47" s="368"/>
      <c r="C47" s="368" t="s">
        <v>293</v>
      </c>
      <c r="D47" s="514"/>
      <c r="E47" s="514"/>
      <c r="F47" s="514"/>
      <c r="G47" s="514"/>
      <c r="H47" s="514"/>
      <c r="I47" s="514"/>
      <c r="J47" s="514"/>
      <c r="K47" s="267" t="s">
        <v>373</v>
      </c>
      <c r="L47" s="293"/>
      <c r="M47" s="513"/>
      <c r="N47" s="293"/>
    </row>
    <row r="48" spans="2:14" ht="21" customHeight="1">
      <c r="B48" s="368"/>
      <c r="C48" s="368" t="s">
        <v>294</v>
      </c>
      <c r="D48" s="514"/>
      <c r="E48" s="514"/>
      <c r="F48" s="514"/>
      <c r="G48" s="514"/>
      <c r="H48" s="514"/>
      <c r="I48" s="514"/>
      <c r="J48" s="514"/>
      <c r="K48" s="267" t="s">
        <v>373</v>
      </c>
      <c r="L48" s="293"/>
      <c r="M48" s="513"/>
      <c r="N48" s="293"/>
    </row>
    <row r="49" spans="2:14" ht="21" customHeight="1">
      <c r="B49" s="368"/>
      <c r="C49" s="368" t="s">
        <v>295</v>
      </c>
      <c r="D49" s="514"/>
      <c r="E49" s="514"/>
      <c r="F49" s="514"/>
      <c r="G49" s="514"/>
      <c r="H49" s="514"/>
      <c r="I49" s="514"/>
      <c r="J49" s="514"/>
      <c r="K49" s="267" t="s">
        <v>373</v>
      </c>
      <c r="L49" s="293"/>
      <c r="M49" s="513"/>
      <c r="N49" s="293"/>
    </row>
    <row r="50" spans="2:14">
      <c r="B50" s="368"/>
    </row>
    <row r="51" spans="2:14">
      <c r="B51" s="368"/>
    </row>
    <row r="52" spans="2:14">
      <c r="B52" s="368"/>
    </row>
    <row r="53" spans="2:14">
      <c r="B53" s="368"/>
    </row>
    <row r="54" spans="2:14">
      <c r="B54" s="368"/>
    </row>
    <row r="55" spans="2:14">
      <c r="B55" s="368"/>
    </row>
    <row r="56" spans="2:14">
      <c r="B56" s="368"/>
    </row>
    <row r="57" spans="2:14">
      <c r="B57" s="368"/>
    </row>
    <row r="58" spans="2:14">
      <c r="B58" s="368"/>
    </row>
    <row r="59" spans="2:14">
      <c r="B59" s="368"/>
    </row>
    <row r="60" spans="2:14">
      <c r="B60" s="368"/>
    </row>
    <row r="61" spans="2:14" ht="13.8">
      <c r="B61" s="1387" t="s">
        <v>3164</v>
      </c>
      <c r="C61" s="1387"/>
      <c r="D61" s="1387"/>
      <c r="E61" s="1387"/>
      <c r="F61" s="1387"/>
      <c r="G61" s="1387"/>
      <c r="H61" s="1387"/>
      <c r="I61" s="1387"/>
      <c r="J61" s="1387"/>
      <c r="K61" s="1387"/>
      <c r="L61" s="1387"/>
      <c r="M61" s="1387"/>
      <c r="N61" s="1387"/>
    </row>
    <row r="62" spans="2:14">
      <c r="B62" s="368"/>
    </row>
    <row r="63" spans="2:14">
      <c r="B63" s="368"/>
    </row>
    <row r="64" spans="2:14">
      <c r="B64" s="368"/>
    </row>
    <row r="65" spans="2:2">
      <c r="B65" s="368"/>
    </row>
    <row r="66" spans="2:2">
      <c r="B66" s="368"/>
    </row>
    <row r="67" spans="2:2">
      <c r="B67" s="368"/>
    </row>
    <row r="68" spans="2:2">
      <c r="B68" s="368"/>
    </row>
    <row r="69" spans="2:2">
      <c r="B69" s="368"/>
    </row>
  </sheetData>
  <sheetProtection algorithmName="SHA-512" hashValue="JcZrV92THfp9bqCkO08zBN779u4/L6NJieisS2Vc4FCgK4rAvB8T7bOzQVtDeXrxuvW1J9JBTBu9E6IZZT6L6Q==" saltValue="HIS0u1ZcIUa4J5h+1JEqQw==" spinCount="100000" sheet="1" objects="1" scenarios="1"/>
  <mergeCells count="13">
    <mergeCell ref="B28:N28"/>
    <mergeCell ref="B3:N3"/>
    <mergeCell ref="B4:N4"/>
    <mergeCell ref="B5:N5"/>
    <mergeCell ref="B6:N6"/>
    <mergeCell ref="C9:E9"/>
    <mergeCell ref="B61:N61"/>
    <mergeCell ref="B29:N29"/>
    <mergeCell ref="D31:E31"/>
    <mergeCell ref="G31:L31"/>
    <mergeCell ref="B40:N40"/>
    <mergeCell ref="D44:E44"/>
    <mergeCell ref="H44:I44"/>
  </mergeCells>
  <pageMargins left="0.25" right="0.25" top="0.5" bottom="0.5" header="0.25" footer="0.25"/>
  <pageSetup paperSize="5" orientation="portrait" r:id="rId1"/>
  <headerFooter alignWithMargins="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C3A6C-636C-4289-BF43-2C6558883B54}">
  <sheetPr codeName="Sheet304">
    <tabColor theme="7" tint="0.39997558519241921"/>
  </sheetPr>
  <dimension ref="A2:O36"/>
  <sheetViews>
    <sheetView zoomScaleNormal="100" workbookViewId="0">
      <selection activeCell="J9" sqref="J9"/>
    </sheetView>
  </sheetViews>
  <sheetFormatPr defaultColWidth="9.109375" defaultRowHeight="13.2"/>
  <cols>
    <col min="1" max="1" width="5.6640625" customWidth="1"/>
    <col min="2" max="4" width="4.88671875" customWidth="1"/>
    <col min="5" max="5" width="46.6640625" customWidth="1"/>
    <col min="6" max="6" width="7.6640625" customWidth="1"/>
    <col min="7" max="8" width="16.6640625" customWidth="1"/>
    <col min="9" max="12" width="15.6640625" customWidth="1"/>
    <col min="13" max="13" width="10.44140625" bestFit="1" customWidth="1"/>
  </cols>
  <sheetData>
    <row r="2" spans="1:15" ht="17.399999999999999">
      <c r="B2" s="1186" t="s">
        <v>3527</v>
      </c>
      <c r="C2" s="1186"/>
      <c r="D2" s="1186"/>
      <c r="E2" s="1186"/>
      <c r="F2" s="1186"/>
      <c r="G2" s="1186"/>
      <c r="H2" s="1186"/>
      <c r="I2" s="1186"/>
      <c r="J2" s="1186"/>
      <c r="K2" s="1186"/>
      <c r="L2" s="1186"/>
    </row>
    <row r="5" spans="1:15" ht="13.8" thickBot="1"/>
    <row r="6" spans="1:15" ht="13.8" thickTop="1">
      <c r="B6" s="11"/>
      <c r="C6" s="11"/>
      <c r="D6" s="11"/>
      <c r="E6" s="752"/>
      <c r="F6" s="11"/>
      <c r="G6" s="12"/>
      <c r="H6" s="51"/>
      <c r="I6" s="12"/>
      <c r="J6" s="11"/>
      <c r="K6" s="11"/>
      <c r="L6" s="18"/>
    </row>
    <row r="7" spans="1:15" ht="15.6">
      <c r="B7" s="1174" t="s">
        <v>17</v>
      </c>
      <c r="C7" s="1174"/>
      <c r="D7" s="1174"/>
      <c r="E7" s="1252" t="s">
        <v>413</v>
      </c>
      <c r="F7" s="1214"/>
      <c r="G7" s="13" t="s">
        <v>414</v>
      </c>
      <c r="H7" s="1" t="s">
        <v>442</v>
      </c>
      <c r="I7" s="13" t="s">
        <v>529</v>
      </c>
      <c r="J7" s="1192" t="str">
        <f>"REDUCED  IN  "&amp;IF('KEY INPUTS'!C42="State Fiscal Year","FY  "&amp;'KEY INPUTS'!D33&amp;"",'KEY INPUTS'!D34)&amp;""</f>
        <v>REDUCED  IN  2024</v>
      </c>
      <c r="K7" s="1194"/>
      <c r="L7" s="21" t="s">
        <v>529</v>
      </c>
    </row>
    <row r="8" spans="1:15">
      <c r="E8" s="70"/>
      <c r="G8" s="13" t="s">
        <v>441</v>
      </c>
      <c r="H8" s="1" t="s">
        <v>443</v>
      </c>
      <c r="I8" s="245" t="str">
        <f>IF('KEY INPUTS'!C42 = "State Fiscal Year", 'KEY INPUTS'!F46,'KEY INPUTS'!D46)</f>
        <v>Dec. 31, 2023</v>
      </c>
      <c r="J8" s="13" t="str">
        <f>"By "&amp;IF('KEY INPUTS'!C42="State Fiscal Year","FY "&amp;'KEY INPUTS'!D33&amp;"",'KEY INPUTS'!D34)&amp;""</f>
        <v>By 2024</v>
      </c>
      <c r="K8" s="13" t="s">
        <v>439</v>
      </c>
      <c r="L8" s="244" t="str">
        <f>IF('KEY INPUTS'!C42 = "State Fiscal Year", 'KEY INPUTS'!F47,'KEY INPUTS'!D47)</f>
        <v>Dec. 31, 2024</v>
      </c>
    </row>
    <row r="9" spans="1:15" ht="13.8" thickBot="1">
      <c r="B9" s="10"/>
      <c r="C9" s="10"/>
      <c r="D9" s="10"/>
      <c r="E9" s="17"/>
      <c r="F9" s="10"/>
      <c r="G9" s="16"/>
      <c r="H9" s="29" t="s">
        <v>444</v>
      </c>
      <c r="I9" s="14"/>
      <c r="J9" s="16" t="s">
        <v>534</v>
      </c>
      <c r="K9" s="16" t="s">
        <v>440</v>
      </c>
      <c r="L9" s="19"/>
    </row>
    <row r="10" spans="1:15" ht="21" customHeight="1" thickTop="1">
      <c r="B10" s="1253"/>
      <c r="C10" s="1253"/>
      <c r="D10" s="1254"/>
      <c r="E10" s="441"/>
      <c r="F10" s="421"/>
      <c r="G10" s="442"/>
      <c r="H10" s="442"/>
      <c r="I10" s="443"/>
      <c r="J10" s="443"/>
      <c r="K10" s="443"/>
      <c r="L10" s="990">
        <f>+I10-J10-K10</f>
        <v>0</v>
      </c>
    </row>
    <row r="11" spans="1:15" ht="21" customHeight="1">
      <c r="B11" s="1255"/>
      <c r="C11" s="1156"/>
      <c r="D11" s="1256"/>
      <c r="E11" s="444"/>
      <c r="F11" s="423"/>
      <c r="G11" s="432"/>
      <c r="H11" s="432"/>
      <c r="I11" s="291"/>
      <c r="J11" s="291"/>
      <c r="K11" s="291"/>
      <c r="L11" s="991">
        <f>+I11-J11-K11</f>
        <v>0</v>
      </c>
      <c r="M11" s="204"/>
    </row>
    <row r="12" spans="1:15" ht="21" customHeight="1">
      <c r="B12" s="1255"/>
      <c r="C12" s="1156"/>
      <c r="D12" s="1256"/>
      <c r="E12" s="444"/>
      <c r="F12" s="423"/>
      <c r="G12" s="445"/>
      <c r="H12" s="432"/>
      <c r="I12" s="446"/>
      <c r="J12" s="291"/>
      <c r="K12" s="291"/>
      <c r="L12" s="991">
        <f t="shared" ref="L12:L23" si="0">+I12-J12-K12</f>
        <v>0</v>
      </c>
      <c r="M12" s="204"/>
    </row>
    <row r="13" spans="1:15" ht="21" customHeight="1">
      <c r="B13" s="1156"/>
      <c r="C13" s="1156"/>
      <c r="D13" s="1256"/>
      <c r="E13" s="444"/>
      <c r="F13" s="423"/>
      <c r="G13" s="432"/>
      <c r="H13" s="432"/>
      <c r="I13" s="291"/>
      <c r="J13" s="291"/>
      <c r="K13" s="291"/>
      <c r="L13" s="991">
        <f t="shared" si="0"/>
        <v>0</v>
      </c>
    </row>
    <row r="14" spans="1:15" ht="21" customHeight="1">
      <c r="B14" s="1255"/>
      <c r="C14" s="1156"/>
      <c r="D14" s="1256"/>
      <c r="E14" s="444"/>
      <c r="F14" s="423"/>
      <c r="G14" s="432"/>
      <c r="H14" s="432"/>
      <c r="I14" s="291"/>
      <c r="J14" s="291"/>
      <c r="K14" s="291"/>
      <c r="L14" s="991">
        <f t="shared" si="0"/>
        <v>0</v>
      </c>
      <c r="O14" s="294"/>
    </row>
    <row r="15" spans="1:15" ht="21" customHeight="1">
      <c r="B15" s="1255"/>
      <c r="C15" s="1156"/>
      <c r="D15" s="1256"/>
      <c r="E15" s="444"/>
      <c r="F15" s="423"/>
      <c r="G15" s="445"/>
      <c r="H15" s="432"/>
      <c r="I15" s="446"/>
      <c r="J15" s="291"/>
      <c r="K15" s="291"/>
      <c r="L15" s="991">
        <f t="shared" si="0"/>
        <v>0</v>
      </c>
    </row>
    <row r="16" spans="1:15" ht="21" customHeight="1">
      <c r="A16" s="1195" t="s">
        <v>3528</v>
      </c>
      <c r="B16" s="1156"/>
      <c r="C16" s="1156"/>
      <c r="D16" s="1256"/>
      <c r="E16" s="444"/>
      <c r="F16" s="423"/>
      <c r="G16" s="432"/>
      <c r="H16" s="432"/>
      <c r="I16" s="291"/>
      <c r="J16" s="291"/>
      <c r="K16" s="291"/>
      <c r="L16" s="991">
        <f t="shared" si="0"/>
        <v>0</v>
      </c>
    </row>
    <row r="17" spans="1:12" ht="21" customHeight="1">
      <c r="A17" s="1195"/>
      <c r="B17" s="1156"/>
      <c r="C17" s="1156"/>
      <c r="D17" s="1256"/>
      <c r="E17" s="444"/>
      <c r="F17" s="423"/>
      <c r="G17" s="432"/>
      <c r="H17" s="432"/>
      <c r="I17" s="291"/>
      <c r="J17" s="291"/>
      <c r="K17" s="291"/>
      <c r="L17" s="991">
        <f t="shared" si="0"/>
        <v>0</v>
      </c>
    </row>
    <row r="18" spans="1:12" ht="21" customHeight="1">
      <c r="A18" s="1195"/>
      <c r="B18" s="1156"/>
      <c r="C18" s="1156"/>
      <c r="D18" s="1256"/>
      <c r="E18" s="444"/>
      <c r="F18" s="423"/>
      <c r="G18" s="432"/>
      <c r="H18" s="432"/>
      <c r="I18" s="291"/>
      <c r="J18" s="291"/>
      <c r="K18" s="291"/>
      <c r="L18" s="991">
        <f t="shared" si="0"/>
        <v>0</v>
      </c>
    </row>
    <row r="19" spans="1:12" ht="21" customHeight="1">
      <c r="A19" s="265"/>
      <c r="B19" s="613"/>
      <c r="C19" s="613"/>
      <c r="D19" s="616"/>
      <c r="E19" s="444"/>
      <c r="F19" s="423"/>
      <c r="G19" s="432"/>
      <c r="H19" s="432"/>
      <c r="I19" s="291"/>
      <c r="J19" s="291"/>
      <c r="K19" s="291"/>
      <c r="L19" s="991">
        <f t="shared" si="0"/>
        <v>0</v>
      </c>
    </row>
    <row r="20" spans="1:12" ht="21" customHeight="1">
      <c r="A20" s="265"/>
      <c r="B20" s="613"/>
      <c r="C20" s="613"/>
      <c r="D20" s="616"/>
      <c r="E20" s="444"/>
      <c r="F20" s="423"/>
      <c r="G20" s="432"/>
      <c r="H20" s="432"/>
      <c r="I20" s="291"/>
      <c r="J20" s="291"/>
      <c r="K20" s="291"/>
      <c r="L20" s="991">
        <f t="shared" si="0"/>
        <v>0</v>
      </c>
    </row>
    <row r="21" spans="1:12" ht="21" customHeight="1">
      <c r="B21" s="1156"/>
      <c r="C21" s="1156"/>
      <c r="D21" s="1256"/>
      <c r="E21" s="444"/>
      <c r="F21" s="423"/>
      <c r="G21" s="432"/>
      <c r="H21" s="432"/>
      <c r="I21" s="291"/>
      <c r="J21" s="291"/>
      <c r="K21" s="291"/>
      <c r="L21" s="991">
        <f t="shared" si="0"/>
        <v>0</v>
      </c>
    </row>
    <row r="22" spans="1:12" ht="21" customHeight="1">
      <c r="B22" s="613"/>
      <c r="C22" s="613"/>
      <c r="D22" s="616"/>
      <c r="E22" s="444"/>
      <c r="F22" s="423"/>
      <c r="G22" s="432"/>
      <c r="H22" s="432"/>
      <c r="I22" s="291"/>
      <c r="J22" s="291"/>
      <c r="K22" s="291"/>
      <c r="L22" s="991">
        <f t="shared" si="0"/>
        <v>0</v>
      </c>
    </row>
    <row r="23" spans="1:12" ht="21" customHeight="1">
      <c r="B23" s="1156"/>
      <c r="C23" s="1156"/>
      <c r="D23" s="1256"/>
      <c r="E23" s="444"/>
      <c r="F23" s="423"/>
      <c r="G23" s="432"/>
      <c r="H23" s="432"/>
      <c r="I23" s="291"/>
      <c r="J23" s="291"/>
      <c r="K23" s="291"/>
      <c r="L23" s="991">
        <f t="shared" si="0"/>
        <v>0</v>
      </c>
    </row>
    <row r="24" spans="1:12" ht="21" customHeight="1" thickBot="1">
      <c r="F24" s="16" t="s">
        <v>639</v>
      </c>
      <c r="G24" s="724">
        <f t="shared" ref="G24:L24" si="1">SUM(G10:G23)</f>
        <v>0</v>
      </c>
      <c r="H24" s="724">
        <f t="shared" si="1"/>
        <v>0</v>
      </c>
      <c r="I24" s="724">
        <f t="shared" si="1"/>
        <v>0</v>
      </c>
      <c r="J24" s="724">
        <f t="shared" si="1"/>
        <v>0</v>
      </c>
      <c r="K24" s="724">
        <f t="shared" si="1"/>
        <v>0</v>
      </c>
      <c r="L24" s="640">
        <f t="shared" si="1"/>
        <v>0</v>
      </c>
    </row>
    <row r="25" spans="1:12" ht="12.75" customHeight="1" thickTop="1">
      <c r="I25" s="1"/>
      <c r="J25" s="1"/>
    </row>
    <row r="26" spans="1:12">
      <c r="B26" s="239" t="s">
        <v>3524</v>
      </c>
    </row>
    <row r="27" spans="1:12" ht="13.5" customHeight="1">
      <c r="B27" t="s">
        <v>123</v>
      </c>
    </row>
    <row r="28" spans="1:12" ht="13.5" customHeight="1">
      <c r="B28" s="34"/>
      <c r="J28" s="1164"/>
      <c r="K28" s="1164"/>
    </row>
    <row r="29" spans="1:12">
      <c r="J29" s="1257" t="s">
        <v>124</v>
      </c>
      <c r="K29" s="1257"/>
    </row>
    <row r="35" spans="9:12">
      <c r="L35" s="204">
        <f>+I24-J24-L24</f>
        <v>0</v>
      </c>
    </row>
    <row r="36" spans="9:12">
      <c r="I36" s="204"/>
      <c r="J36" s="204"/>
    </row>
  </sheetData>
  <sheetProtection algorithmName="SHA-512" hashValue="fHQWFBOUOnFOWey9MCWBV8YLjTqUI1UxLQWKXpWQMZApNCW0JgoVOylBnLVGnNT5Z3fP3pz7Zw6rbP5YAXivZQ==" saltValue="jGMH5SyR4MljvNu+sgnJCQ==" spinCount="100000" sheet="1" objects="1" scenarios="1"/>
  <mergeCells count="18">
    <mergeCell ref="A16:A18"/>
    <mergeCell ref="B16:D16"/>
    <mergeCell ref="B17:D17"/>
    <mergeCell ref="B18:D18"/>
    <mergeCell ref="B2:L2"/>
    <mergeCell ref="B7:D7"/>
    <mergeCell ref="E7:F7"/>
    <mergeCell ref="J7:K7"/>
    <mergeCell ref="B10:D10"/>
    <mergeCell ref="B11:D11"/>
    <mergeCell ref="B21:D21"/>
    <mergeCell ref="B23:D23"/>
    <mergeCell ref="J28:K28"/>
    <mergeCell ref="J29:K29"/>
    <mergeCell ref="B12:D12"/>
    <mergeCell ref="B13:D13"/>
    <mergeCell ref="B14:D14"/>
    <mergeCell ref="B15:D15"/>
  </mergeCells>
  <pageMargins left="0.25" right="0.25" top="0.5" bottom="0.5" header="0.25" footer="0.25"/>
  <pageSetup paperSize="5" orientation="landscape" r:id="rId1"/>
  <headerFooter alignWithMargins="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59E8D-49A4-4C73-A3DB-2D22DB299B9C}">
  <sheetPr codeName="Sheet257">
    <tabColor theme="7" tint="0.39997558519241921"/>
  </sheetPr>
  <dimension ref="B2:U50"/>
  <sheetViews>
    <sheetView zoomScaleNormal="100" zoomScaleSheetLayoutView="80" workbookViewId="0">
      <selection activeCell="G17" sqref="G17"/>
    </sheetView>
  </sheetViews>
  <sheetFormatPr defaultColWidth="8.88671875" defaultRowHeight="13.2"/>
  <cols>
    <col min="1" max="4" width="4.6640625" style="267" customWidth="1"/>
    <col min="5" max="5" width="17.88671875" style="267" customWidth="1"/>
    <col min="6" max="6" width="8.88671875" style="267"/>
    <col min="7" max="7" width="16.6640625" style="267" customWidth="1"/>
    <col min="8" max="8" width="1.6640625" style="267" customWidth="1"/>
    <col min="9" max="9" width="15.6640625" style="267" customWidth="1"/>
    <col min="10" max="10" width="1.6640625" style="267" customWidth="1"/>
    <col min="11" max="11" width="8.6640625" style="267" customWidth="1"/>
    <col min="12" max="12" width="7.6640625" style="267" customWidth="1"/>
    <col min="13" max="15" width="8.88671875" style="267"/>
    <col min="16" max="17" width="10.33203125" style="267" bestFit="1" customWidth="1"/>
    <col min="18" max="16384" width="8.88671875" style="267"/>
  </cols>
  <sheetData>
    <row r="2" spans="2:21" ht="20.399999999999999">
      <c r="B2" s="1363" t="s">
        <v>127</v>
      </c>
      <c r="C2" s="1363"/>
      <c r="D2" s="1363"/>
      <c r="E2" s="1363"/>
      <c r="F2" s="1363"/>
      <c r="G2" s="1363"/>
      <c r="H2" s="1363"/>
      <c r="I2" s="1363"/>
      <c r="J2" s="1363"/>
      <c r="K2" s="1363"/>
      <c r="L2" s="1363"/>
    </row>
    <row r="3" spans="2:21" ht="20.399999999999999">
      <c r="B3" s="1363" t="str">
        <f>" AND  "&amp;IF('KEY INPUTS'!C42="State Fiscal Year","FISCAL  YEAR  "&amp;'KEY INPUTS'!D33+1&amp;"",'KEY INPUTS'!D34+1)&amp;"  DEBT  SERVICE  FOR  BONDS"</f>
        <v xml:space="preserve"> AND  2025  DEBT  SERVICE  FOR  BONDS</v>
      </c>
      <c r="C3" s="1363"/>
      <c r="D3" s="1363"/>
      <c r="E3" s="1363"/>
      <c r="F3" s="1363"/>
      <c r="G3" s="1363"/>
      <c r="H3" s="1363"/>
      <c r="I3" s="1363"/>
      <c r="J3" s="1363"/>
      <c r="K3" s="1363"/>
      <c r="L3" s="1363"/>
    </row>
    <row r="4" spans="2:21" ht="15.6">
      <c r="B4" s="1360" t="str">
        <f>UPPER('KEY INPUTS'!D58)&amp;" UTILITY  ASSESSMENT  BONDS"</f>
        <v xml:space="preserve"> UTILITY  ASSESSMENT  BONDS</v>
      </c>
      <c r="C4" s="1360"/>
      <c r="D4" s="1360"/>
      <c r="E4" s="1360"/>
      <c r="F4" s="1360"/>
      <c r="G4" s="1360"/>
      <c r="H4" s="1360"/>
      <c r="I4" s="1360"/>
      <c r="J4" s="1360"/>
      <c r="K4" s="1360"/>
      <c r="L4" s="1360"/>
    </row>
    <row r="5" spans="2:21" ht="9.75" customHeight="1" thickBot="1">
      <c r="B5" s="383"/>
      <c r="C5" s="383"/>
      <c r="D5" s="383"/>
      <c r="E5" s="383"/>
      <c r="F5" s="383"/>
      <c r="G5" s="383"/>
      <c r="H5" s="383"/>
      <c r="I5" s="383"/>
      <c r="J5" s="383"/>
      <c r="K5" s="383"/>
      <c r="L5" s="383"/>
    </row>
    <row r="6" spans="2:21" ht="27.75" customHeight="1" thickTop="1" thickBot="1">
      <c r="B6" s="364"/>
      <c r="C6" s="364"/>
      <c r="D6" s="364"/>
      <c r="E6" s="364"/>
      <c r="F6" s="364"/>
      <c r="G6" s="304" t="s">
        <v>96</v>
      </c>
      <c r="H6" s="1401" t="s">
        <v>97</v>
      </c>
      <c r="I6" s="1351"/>
      <c r="J6" s="1407" t="str">
        <f>IF('KEY INPUTS'!C42="State Fiscal Year","Fiscal Year "&amp;'KEY INPUTS'!D33+1&amp;"",'KEY INPUTS'!D34+1)&amp;"  Debt Service"</f>
        <v>2025  Debt Service</v>
      </c>
      <c r="K6" s="1407"/>
      <c r="L6" s="1407"/>
      <c r="O6"/>
      <c r="P6"/>
      <c r="Q6"/>
      <c r="R6"/>
      <c r="S6"/>
      <c r="T6"/>
      <c r="U6"/>
    </row>
    <row r="7" spans="2:21" ht="21" customHeight="1" thickTop="1">
      <c r="B7" s="363" t="str">
        <f>'32-Bond Schedule'!B7</f>
        <v>Outstanding - January 1, 2024</v>
      </c>
      <c r="C7" s="313"/>
      <c r="D7" s="313"/>
      <c r="E7" s="313"/>
      <c r="F7" s="313"/>
      <c r="G7" s="801" t="s">
        <v>627</v>
      </c>
      <c r="H7" s="1293"/>
      <c r="I7" s="1294"/>
      <c r="O7"/>
      <c r="P7"/>
      <c r="Q7"/>
      <c r="R7"/>
      <c r="S7"/>
      <c r="T7"/>
      <c r="U7"/>
    </row>
    <row r="8" spans="2:21" ht="21" customHeight="1">
      <c r="B8" s="248" t="s">
        <v>92</v>
      </c>
      <c r="C8" s="248"/>
      <c r="D8" s="248"/>
      <c r="E8" s="248"/>
      <c r="F8" s="248"/>
      <c r="G8" s="804" t="s">
        <v>627</v>
      </c>
      <c r="H8" s="1291"/>
      <c r="I8" s="1292"/>
      <c r="O8" s="294"/>
      <c r="P8"/>
      <c r="Q8"/>
      <c r="R8"/>
      <c r="S8"/>
      <c r="T8"/>
      <c r="U8"/>
    </row>
    <row r="9" spans="2:21" ht="21" customHeight="1">
      <c r="B9" s="248"/>
      <c r="C9" s="248"/>
      <c r="D9" s="248"/>
      <c r="E9" s="248"/>
      <c r="F9" s="248"/>
      <c r="G9" s="804"/>
      <c r="H9" s="912"/>
      <c r="I9" s="842"/>
      <c r="O9"/>
      <c r="P9"/>
      <c r="Q9"/>
      <c r="R9"/>
      <c r="S9"/>
      <c r="T9"/>
      <c r="U9"/>
    </row>
    <row r="10" spans="2:21" ht="21" customHeight="1">
      <c r="B10" s="248" t="s">
        <v>254</v>
      </c>
      <c r="C10" s="248"/>
      <c r="D10" s="248"/>
      <c r="E10" s="248"/>
      <c r="F10" s="248"/>
      <c r="G10" s="450"/>
      <c r="H10" s="1408" t="s">
        <v>627</v>
      </c>
      <c r="I10" s="1409"/>
      <c r="O10"/>
      <c r="P10"/>
      <c r="Q10"/>
      <c r="R10"/>
      <c r="S10"/>
      <c r="T10"/>
      <c r="U10"/>
    </row>
    <row r="11" spans="2:21" ht="21" customHeight="1" thickBot="1">
      <c r="B11" s="248" t="str">
        <f>'32-Bond Schedule'!B11</f>
        <v>Outstanding - December 31, 2024</v>
      </c>
      <c r="C11" s="248"/>
      <c r="D11" s="248"/>
      <c r="E11" s="248"/>
      <c r="F11" s="248"/>
      <c r="G11" s="783">
        <f>+H7+H8-G10</f>
        <v>0</v>
      </c>
      <c r="H11" s="1405" t="s">
        <v>627</v>
      </c>
      <c r="I11" s="1406"/>
      <c r="O11"/>
      <c r="P11"/>
      <c r="Q11"/>
      <c r="R11"/>
      <c r="S11"/>
      <c r="T11"/>
      <c r="U11"/>
    </row>
    <row r="12" spans="2:21" ht="21" customHeight="1" thickBot="1">
      <c r="G12" s="785">
        <f>SUM(G7:G11)</f>
        <v>0</v>
      </c>
      <c r="H12" s="1393">
        <f>SUM(H7:I11)</f>
        <v>0</v>
      </c>
      <c r="I12" s="1394"/>
      <c r="O12"/>
      <c r="P12"/>
      <c r="Q12"/>
      <c r="R12"/>
      <c r="S12"/>
      <c r="T12"/>
      <c r="U12"/>
    </row>
    <row r="13" spans="2:21" ht="21" customHeight="1" thickTop="1">
      <c r="B13" s="333" t="str">
        <f>'49-Utility1'!B13</f>
        <v>2025 Bond Maturities - Assessment Bonds</v>
      </c>
      <c r="C13" s="333"/>
      <c r="D13" s="333"/>
      <c r="E13" s="333"/>
      <c r="F13" s="333"/>
      <c r="G13" s="333"/>
      <c r="H13" s="333"/>
      <c r="I13" s="381"/>
      <c r="J13" s="333" t="s">
        <v>373</v>
      </c>
      <c r="K13" s="1311"/>
      <c r="L13" s="1311"/>
      <c r="O13"/>
      <c r="P13"/>
      <c r="Q13"/>
      <c r="R13"/>
      <c r="S13"/>
      <c r="T13"/>
      <c r="U13"/>
    </row>
    <row r="14" spans="2:21" ht="21" customHeight="1" thickBot="1">
      <c r="B14" s="311" t="str">
        <f>'49-Utility1'!B14</f>
        <v>2025 Interest on Bonds</v>
      </c>
      <c r="C14" s="311"/>
      <c r="D14" s="311"/>
      <c r="E14" s="311"/>
      <c r="F14" s="311"/>
      <c r="G14" s="380"/>
      <c r="H14" s="311" t="s">
        <v>373</v>
      </c>
      <c r="I14" s="456"/>
      <c r="O14"/>
      <c r="P14"/>
      <c r="Q14"/>
      <c r="R14"/>
      <c r="S14"/>
      <c r="T14"/>
      <c r="U14"/>
    </row>
    <row r="15" spans="2:21" ht="16.5" customHeight="1" thickTop="1">
      <c r="B15" s="1402"/>
      <c r="C15" s="1402"/>
      <c r="D15" s="1402"/>
      <c r="E15" s="1402"/>
      <c r="F15" s="1402"/>
      <c r="G15" s="1402"/>
      <c r="H15" s="1402"/>
      <c r="I15" s="1403"/>
      <c r="O15"/>
      <c r="P15"/>
      <c r="Q15"/>
      <c r="R15"/>
      <c r="S15"/>
      <c r="T15"/>
      <c r="U15"/>
    </row>
    <row r="16" spans="2:21" ht="26.25" customHeight="1" thickBot="1">
      <c r="B16" s="1420" t="str">
        <f>UPPER('KEY INPUTS'!D58) &amp;" UTILITY  CAPITAL  BONDS"</f>
        <v xml:space="preserve"> UTILITY  CAPITAL  BONDS</v>
      </c>
      <c r="C16" s="1420"/>
      <c r="D16" s="1420"/>
      <c r="E16" s="1420"/>
      <c r="F16" s="1420"/>
      <c r="G16" s="1420"/>
      <c r="H16" s="1420"/>
      <c r="I16" s="1421"/>
      <c r="O16"/>
      <c r="P16"/>
      <c r="Q16"/>
      <c r="R16"/>
      <c r="S16"/>
      <c r="T16"/>
      <c r="U16"/>
    </row>
    <row r="17" spans="2:21" ht="21" customHeight="1" thickTop="1">
      <c r="B17" s="363" t="str">
        <f>'32-Bond Schedule'!B7</f>
        <v>Outstanding - January 1, 2024</v>
      </c>
      <c r="C17" s="313"/>
      <c r="D17" s="313"/>
      <c r="E17" s="313"/>
      <c r="F17" s="313"/>
      <c r="G17" s="801" t="s">
        <v>627</v>
      </c>
      <c r="H17" s="1293"/>
      <c r="I17" s="1294"/>
      <c r="O17"/>
      <c r="P17"/>
      <c r="Q17"/>
      <c r="R17"/>
      <c r="S17"/>
      <c r="T17"/>
      <c r="U17"/>
    </row>
    <row r="18" spans="2:21" ht="21" customHeight="1">
      <c r="B18" s="248" t="s">
        <v>92</v>
      </c>
      <c r="C18" s="248"/>
      <c r="D18" s="248"/>
      <c r="E18" s="248"/>
      <c r="F18" s="248"/>
      <c r="G18" s="804" t="s">
        <v>627</v>
      </c>
      <c r="H18" s="1291"/>
      <c r="I18" s="1292"/>
      <c r="O18"/>
      <c r="P18"/>
      <c r="Q18"/>
      <c r="R18"/>
      <c r="S18"/>
      <c r="T18"/>
      <c r="U18"/>
    </row>
    <row r="19" spans="2:21" ht="21" customHeight="1">
      <c r="B19" s="248" t="s">
        <v>254</v>
      </c>
      <c r="C19" s="248"/>
      <c r="D19" s="248"/>
      <c r="E19" s="248"/>
      <c r="F19" s="248"/>
      <c r="G19" s="450"/>
      <c r="H19" s="1408" t="s">
        <v>627</v>
      </c>
      <c r="I19" s="1409"/>
      <c r="O19"/>
      <c r="P19"/>
      <c r="Q19"/>
      <c r="R19"/>
      <c r="S19"/>
      <c r="T19"/>
      <c r="U19"/>
    </row>
    <row r="20" spans="2:21" ht="21" customHeight="1">
      <c r="B20" s="248"/>
      <c r="C20" s="248"/>
      <c r="D20" s="248"/>
      <c r="E20" s="248"/>
      <c r="F20" s="248"/>
      <c r="G20" s="533"/>
      <c r="H20" s="1395"/>
      <c r="I20" s="1396"/>
      <c r="O20"/>
      <c r="P20"/>
      <c r="Q20"/>
      <c r="R20"/>
      <c r="S20"/>
      <c r="T20"/>
      <c r="U20"/>
    </row>
    <row r="21" spans="2:21" ht="21" customHeight="1">
      <c r="B21" s="248"/>
      <c r="C21" s="248"/>
      <c r="D21" s="248"/>
      <c r="E21" s="248"/>
      <c r="F21" s="248"/>
      <c r="G21" s="533"/>
      <c r="H21" s="1395"/>
      <c r="I21" s="1396"/>
      <c r="O21"/>
      <c r="P21"/>
      <c r="Q21"/>
      <c r="R21"/>
      <c r="S21"/>
      <c r="T21"/>
      <c r="U21"/>
    </row>
    <row r="22" spans="2:21" ht="21" customHeight="1" thickBot="1">
      <c r="B22" s="248" t="str">
        <f>'32-Bond Schedule'!B11</f>
        <v>Outstanding - December 31, 2024</v>
      </c>
      <c r="C22" s="248"/>
      <c r="D22" s="248"/>
      <c r="E22" s="248"/>
      <c r="F22" s="248"/>
      <c r="G22" s="783">
        <f>+H17+H18-G19-G20-G21+H20+H21</f>
        <v>0</v>
      </c>
      <c r="H22" s="1405" t="s">
        <v>627</v>
      </c>
      <c r="I22" s="1406"/>
      <c r="O22"/>
      <c r="P22"/>
      <c r="Q22"/>
      <c r="R22"/>
      <c r="S22"/>
      <c r="T22"/>
      <c r="U22"/>
    </row>
    <row r="23" spans="2:21" ht="21" customHeight="1" thickBot="1">
      <c r="G23" s="785">
        <f>SUM(G17:G22)</f>
        <v>0</v>
      </c>
      <c r="H23" s="1393">
        <f>SUM(H17:I22)</f>
        <v>0</v>
      </c>
      <c r="I23" s="1394"/>
    </row>
    <row r="24" spans="2:21" ht="21" customHeight="1" thickTop="1">
      <c r="B24" s="333" t="str">
        <f>'49-Utility1'!B24</f>
        <v>2025 Bond Maturities - Capital Bonds</v>
      </c>
      <c r="C24" s="333"/>
      <c r="D24" s="333"/>
      <c r="E24" s="333"/>
      <c r="F24" s="333"/>
      <c r="G24" s="333"/>
      <c r="H24" s="333"/>
      <c r="I24" s="913"/>
      <c r="J24" s="333" t="s">
        <v>373</v>
      </c>
      <c r="K24" s="1311"/>
      <c r="L24" s="1311"/>
    </row>
    <row r="25" spans="2:21" ht="21" customHeight="1" thickBot="1">
      <c r="B25" s="311" t="str">
        <f>'49-Utility1'!B25</f>
        <v>2025 Interest on Bonds</v>
      </c>
      <c r="C25" s="311"/>
      <c r="D25" s="311"/>
      <c r="E25" s="311"/>
      <c r="F25" s="311"/>
      <c r="G25" s="380"/>
      <c r="H25" s="311" t="s">
        <v>373</v>
      </c>
      <c r="I25" s="456"/>
      <c r="J25" s="375"/>
      <c r="K25" s="311"/>
      <c r="L25" s="311" t="s">
        <v>3131</v>
      </c>
    </row>
    <row r="26" spans="2:21" ht="21" customHeight="1" thickTop="1"/>
    <row r="27" spans="2:21" ht="19.5" customHeight="1" thickBot="1">
      <c r="B27" s="1420" t="str">
        <f>"INTEREST  ON  BONDS  -  "&amp;UPPER('KEY INPUTS'!D58)&amp;"  UTILITY  BUDGET"</f>
        <v>INTEREST  ON  BONDS  -    UTILITY  BUDGET</v>
      </c>
      <c r="C27" s="1420"/>
      <c r="D27" s="1420"/>
      <c r="E27" s="1420"/>
      <c r="F27" s="1420"/>
      <c r="G27" s="1420"/>
      <c r="H27" s="1420"/>
      <c r="I27" s="1420"/>
      <c r="J27" s="1420"/>
      <c r="K27" s="1420"/>
      <c r="L27" s="1420"/>
    </row>
    <row r="28" spans="2:21" ht="21" customHeight="1" thickTop="1">
      <c r="B28" s="313" t="str">
        <f>'49-Utility1'!B28</f>
        <v>2025 Interest on Bonds (*Items)</v>
      </c>
      <c r="C28" s="313"/>
      <c r="D28" s="313"/>
      <c r="E28" s="313"/>
      <c r="F28" s="313"/>
      <c r="G28" s="313"/>
      <c r="H28" s="313" t="s">
        <v>373</v>
      </c>
      <c r="I28" s="384">
        <f>+I14+I25</f>
        <v>0</v>
      </c>
      <c r="O28" s="355"/>
      <c r="P28" s="355"/>
      <c r="Q28" s="355"/>
      <c r="R28" s="355"/>
    </row>
    <row r="29" spans="2:21" ht="21" customHeight="1">
      <c r="B29" s="248" t="str">
        <f>'49-Utility1'!B29</f>
        <v>Less: Interest Accrued to 12/31/2024 (Trial Balance)</v>
      </c>
      <c r="C29" s="248"/>
      <c r="D29" s="248"/>
      <c r="E29" s="248"/>
      <c r="F29" s="248"/>
      <c r="G29" s="248"/>
      <c r="H29" s="248" t="s">
        <v>373</v>
      </c>
      <c r="I29" s="517"/>
      <c r="O29" s="355"/>
      <c r="P29" s="355"/>
      <c r="Q29" s="355"/>
      <c r="R29" s="355"/>
    </row>
    <row r="30" spans="2:21" ht="21" customHeight="1">
      <c r="B30" s="248"/>
      <c r="C30" s="248" t="s">
        <v>317</v>
      </c>
      <c r="D30" s="248"/>
      <c r="E30" s="248"/>
      <c r="F30" s="248"/>
      <c r="G30" s="248"/>
      <c r="H30" s="248" t="s">
        <v>373</v>
      </c>
      <c r="I30" s="379">
        <f>+I28-I29</f>
        <v>0</v>
      </c>
      <c r="O30" s="355"/>
      <c r="P30" s="355"/>
      <c r="Q30" s="355"/>
      <c r="R30" s="355"/>
    </row>
    <row r="31" spans="2:21" ht="21" customHeight="1">
      <c r="B31" s="248" t="str">
        <f>'49-Utility1'!B31</f>
        <v>Add: Interest to be Accrued as of 12/31/2025</v>
      </c>
      <c r="C31" s="248"/>
      <c r="D31" s="248"/>
      <c r="E31" s="248"/>
      <c r="F31" s="248"/>
      <c r="G31" s="248"/>
      <c r="H31" s="248" t="s">
        <v>373</v>
      </c>
      <c r="I31" s="517"/>
      <c r="O31" s="355"/>
      <c r="P31" s="355"/>
      <c r="Q31" s="355"/>
      <c r="R31" s="355"/>
    </row>
    <row r="32" spans="2:21" ht="21" customHeight="1">
      <c r="B32" s="248" t="str">
        <f>'49-Utility1'!B32</f>
        <v>Required Appropriation 2025</v>
      </c>
      <c r="C32" s="248"/>
      <c r="D32" s="248"/>
      <c r="E32" s="248"/>
      <c r="F32" s="248"/>
      <c r="G32" s="248"/>
      <c r="H32" s="248"/>
      <c r="I32" s="919"/>
      <c r="J32" s="376" t="s">
        <v>373</v>
      </c>
      <c r="K32" s="1414">
        <f>+I30+I31</f>
        <v>0</v>
      </c>
      <c r="L32" s="1415"/>
      <c r="O32" s="355"/>
      <c r="P32" s="355"/>
      <c r="Q32" s="355"/>
      <c r="R32" s="355"/>
    </row>
    <row r="33" spans="2:12" ht="13.5" customHeight="1">
      <c r="K33" s="378"/>
      <c r="L33" s="302"/>
    </row>
    <row r="34" spans="2:12" ht="13.5" customHeight="1">
      <c r="K34" s="378"/>
      <c r="L34" s="302"/>
    </row>
    <row r="35" spans="2:12" ht="21" customHeight="1" thickBot="1">
      <c r="B35" s="1404" t="str">
        <f>'49-Utility1'!B35</f>
        <v>LIST  OF  BONDS  ISSUED  DURING  2024</v>
      </c>
      <c r="C35" s="1404"/>
      <c r="D35" s="1404"/>
      <c r="E35" s="1404"/>
      <c r="F35" s="1404"/>
      <c r="G35" s="1404"/>
      <c r="H35" s="1404"/>
      <c r="I35" s="1404"/>
      <c r="J35" s="1404"/>
      <c r="K35" s="1404"/>
      <c r="L35" s="1404"/>
    </row>
    <row r="36" spans="2:12" ht="27" customHeight="1" thickTop="1" thickBot="1">
      <c r="B36" s="1350" t="s">
        <v>413</v>
      </c>
      <c r="C36" s="1350"/>
      <c r="D36" s="1350"/>
      <c r="E36" s="1350"/>
      <c r="F36" s="1350"/>
      <c r="G36" s="304" t="str">
        <f>'49-Utility1'!G36</f>
        <v>2025 Maturity</v>
      </c>
      <c r="H36" s="1401" t="s">
        <v>91</v>
      </c>
      <c r="I36" s="1351"/>
      <c r="J36" s="1399" t="s">
        <v>89</v>
      </c>
      <c r="K36" s="1400"/>
      <c r="L36" s="377" t="s">
        <v>90</v>
      </c>
    </row>
    <row r="37" spans="2:12" ht="21" customHeight="1" thickTop="1">
      <c r="B37" s="518"/>
      <c r="C37" s="518"/>
      <c r="D37" s="518"/>
      <c r="E37" s="518"/>
      <c r="F37" s="518"/>
      <c r="G37" s="454"/>
      <c r="H37" s="1293"/>
      <c r="I37" s="1294"/>
      <c r="J37" s="1416"/>
      <c r="K37" s="1417"/>
      <c r="L37" s="671"/>
    </row>
    <row r="38" spans="2:12" ht="21" customHeight="1">
      <c r="B38" s="495"/>
      <c r="C38" s="495"/>
      <c r="D38" s="495"/>
      <c r="E38" s="495"/>
      <c r="F38" s="495"/>
      <c r="G38" s="450"/>
      <c r="H38" s="1291"/>
      <c r="I38" s="1292"/>
      <c r="J38" s="1397"/>
      <c r="K38" s="1398"/>
      <c r="L38" s="670"/>
    </row>
    <row r="39" spans="2:12" ht="21" customHeight="1">
      <c r="B39" s="495"/>
      <c r="C39" s="495"/>
      <c r="D39" s="495"/>
      <c r="E39" s="495"/>
      <c r="F39" s="495"/>
      <c r="G39" s="450"/>
      <c r="H39" s="1291"/>
      <c r="I39" s="1292"/>
      <c r="J39" s="1397"/>
      <c r="K39" s="1398"/>
      <c r="L39" s="670"/>
    </row>
    <row r="40" spans="2:12" ht="21" customHeight="1">
      <c r="B40" s="495"/>
      <c r="C40" s="495"/>
      <c r="D40" s="495"/>
      <c r="E40" s="495"/>
      <c r="F40" s="495"/>
      <c r="G40" s="450"/>
      <c r="H40" s="1291"/>
      <c r="I40" s="1292"/>
      <c r="J40" s="1397"/>
      <c r="K40" s="1398"/>
      <c r="L40" s="670"/>
    </row>
    <row r="41" spans="2:12" ht="21" customHeight="1" thickBot="1">
      <c r="B41" s="311"/>
      <c r="C41" s="311"/>
      <c r="D41" s="311"/>
      <c r="E41" s="311"/>
      <c r="F41" s="310"/>
      <c r="G41" s="785">
        <f>SUM(G37:G40)</f>
        <v>0</v>
      </c>
      <c r="H41" s="1410">
        <f>SUM(H37:I40)</f>
        <v>0</v>
      </c>
      <c r="I41" s="1411"/>
      <c r="J41" s="375"/>
      <c r="K41" s="311"/>
      <c r="L41" s="315"/>
    </row>
    <row r="42" spans="2:12" ht="13.8" thickTop="1">
      <c r="G42" s="347"/>
      <c r="H42" s="347"/>
      <c r="I42" s="347"/>
    </row>
    <row r="50" spans="2:12" ht="13.8">
      <c r="B50" s="1353" t="s">
        <v>3165</v>
      </c>
      <c r="C50" s="1353"/>
      <c r="D50" s="1353"/>
      <c r="E50" s="1353"/>
      <c r="F50" s="1353"/>
      <c r="G50" s="1353"/>
      <c r="H50" s="1353"/>
      <c r="I50" s="1353"/>
      <c r="J50" s="1353"/>
      <c r="K50" s="1353"/>
      <c r="L50" s="1353"/>
    </row>
  </sheetData>
  <sheetProtection algorithmName="SHA-512" hashValue="sgNYapfFU4IL8YjGcl8BP8AiYYZLHTVA33K6yVA8bfQq8WUxJKlVsiuwpn3+QkGAgq2+s04XTm7UUUyB82U5mQ==" saltValue="WEWIEGdEYHzfO+Y4say4YQ=="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0:L50"/>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61AEB-4D18-484D-B86A-D39C95C3EEC3}">
  <sheetPr codeName="Sheet258">
    <tabColor theme="7" tint="0.39997558519241921"/>
  </sheetPr>
  <dimension ref="B2:U51"/>
  <sheetViews>
    <sheetView zoomScaleNormal="100" zoomScaleSheetLayoutView="80" workbookViewId="0">
      <selection activeCell="G37" sqref="G37"/>
    </sheetView>
  </sheetViews>
  <sheetFormatPr defaultColWidth="9.109375" defaultRowHeight="13.2"/>
  <cols>
    <col min="1" max="3" width="4.6640625" style="267" customWidth="1"/>
    <col min="4" max="4" width="4.5546875" style="267" customWidth="1"/>
    <col min="5" max="5" width="17.88671875" style="267" customWidth="1"/>
    <col min="6" max="6" width="9.109375" style="267"/>
    <col min="7" max="7" width="16.6640625" style="267" customWidth="1"/>
    <col min="8" max="8" width="1.6640625" style="267" customWidth="1"/>
    <col min="9" max="9" width="15.6640625" style="267" customWidth="1"/>
    <col min="10" max="10" width="1.6640625" style="267" customWidth="1"/>
    <col min="11" max="11" width="8.6640625" style="267" customWidth="1"/>
    <col min="12" max="12" width="7.6640625" style="267" customWidth="1"/>
    <col min="13" max="16" width="9.109375" style="267"/>
    <col min="17" max="17" width="11.109375" style="267" bestFit="1" customWidth="1"/>
    <col min="18" max="18" width="14.44140625" style="267" customWidth="1"/>
    <col min="19" max="16384" width="9.109375" style="267"/>
  </cols>
  <sheetData>
    <row r="2" spans="2:21" ht="20.399999999999999">
      <c r="B2" s="1363" t="s">
        <v>480</v>
      </c>
      <c r="C2" s="1363"/>
      <c r="D2" s="1363"/>
      <c r="E2" s="1363"/>
      <c r="F2" s="1363"/>
      <c r="G2" s="1363"/>
      <c r="H2" s="1363"/>
      <c r="I2" s="1363"/>
      <c r="J2" s="1363"/>
      <c r="K2" s="1363"/>
      <c r="L2" s="1363"/>
    </row>
    <row r="3" spans="2:21" ht="21" thickBot="1">
      <c r="B3" s="1363" t="str">
        <f>" AND  "&amp;IF('KEY INPUTS'!C42="State Fiscal Year","FISCAL  YEAR  "&amp;'KEY INPUTS'!D33+1&amp;"",'KEY INPUTS'!D34+1)&amp;"  DEBT  SERVICE  FOR  LOANS"</f>
        <v xml:space="preserve"> AND  2025  DEBT  SERVICE  FOR  LOANS</v>
      </c>
      <c r="C3" s="1363"/>
      <c r="D3" s="1363"/>
      <c r="E3" s="1363"/>
      <c r="F3" s="1363"/>
      <c r="G3" s="1363"/>
      <c r="H3" s="1363"/>
      <c r="I3" s="1363"/>
      <c r="J3" s="1363"/>
      <c r="K3" s="1363"/>
      <c r="L3" s="1363"/>
    </row>
    <row r="4" spans="2:21" ht="16.2" thickBot="1">
      <c r="B4" s="1360" t="str">
        <f>UPPER('KEY INPUTS'!D$58)&amp;" UTILITY "&amp;IF(R4&lt;&gt;"",(UPPER(R4)),"")&amp;" LOAN"</f>
        <v xml:space="preserve"> UTILITY  LOAN</v>
      </c>
      <c r="C4" s="1360"/>
      <c r="D4" s="1360"/>
      <c r="E4" s="1360"/>
      <c r="F4" s="1360"/>
      <c r="G4" s="1360"/>
      <c r="H4" s="1360"/>
      <c r="I4" s="1360"/>
      <c r="J4" s="1360"/>
      <c r="K4" s="1360"/>
      <c r="L4" s="1360"/>
      <c r="Q4" s="1056" t="s">
        <v>3576</v>
      </c>
      <c r="R4" s="1057"/>
    </row>
    <row r="5" spans="2:21" ht="9.75" customHeight="1" thickBot="1">
      <c r="B5" s="383"/>
      <c r="C5" s="383"/>
      <c r="D5" s="383"/>
      <c r="E5" s="383"/>
      <c r="F5" s="383"/>
      <c r="G5" s="383"/>
      <c r="H5" s="383"/>
      <c r="I5" s="383"/>
      <c r="J5" s="383"/>
      <c r="K5" s="383"/>
      <c r="L5" s="383"/>
    </row>
    <row r="6" spans="2:21" ht="27.75" customHeight="1" thickTop="1" thickBot="1">
      <c r="B6" s="364"/>
      <c r="C6" s="364"/>
      <c r="D6" s="364"/>
      <c r="E6" s="364"/>
      <c r="F6" s="364"/>
      <c r="G6" s="304" t="s">
        <v>96</v>
      </c>
      <c r="H6" s="1401" t="s">
        <v>97</v>
      </c>
      <c r="I6" s="1351"/>
      <c r="J6" s="1407" t="str">
        <f>IF('KEY INPUTS'!C42="State Fiscal Year","Fiscal Year "&amp;'KEY INPUTS'!D33+1&amp;"",'KEY INPUTS'!D34+1)&amp;"  Debt Service"</f>
        <v>2025  Debt Service</v>
      </c>
      <c r="K6" s="1407"/>
      <c r="L6" s="1407"/>
      <c r="O6"/>
      <c r="P6"/>
      <c r="Q6"/>
      <c r="R6"/>
      <c r="S6"/>
      <c r="T6"/>
      <c r="U6"/>
    </row>
    <row r="7" spans="2:21" ht="21" customHeight="1" thickTop="1">
      <c r="B7" s="363" t="str">
        <f>'49a-Utility2'!B7</f>
        <v>Outstanding - January 1, 2024</v>
      </c>
      <c r="C7" s="313"/>
      <c r="D7" s="313"/>
      <c r="E7" s="313"/>
      <c r="F7" s="313"/>
      <c r="G7" s="757" t="s">
        <v>627</v>
      </c>
      <c r="H7" s="1293"/>
      <c r="I7" s="1294"/>
      <c r="O7"/>
      <c r="P7"/>
      <c r="Q7"/>
      <c r="R7"/>
      <c r="S7"/>
      <c r="T7"/>
      <c r="U7"/>
    </row>
    <row r="8" spans="2:21" ht="21" customHeight="1">
      <c r="B8" s="248" t="s">
        <v>92</v>
      </c>
      <c r="C8" s="248"/>
      <c r="D8" s="248"/>
      <c r="E8" s="248"/>
      <c r="F8" s="248"/>
      <c r="G8" s="702" t="s">
        <v>627</v>
      </c>
      <c r="H8" s="1291"/>
      <c r="I8" s="1292"/>
      <c r="O8" s="294"/>
      <c r="P8"/>
      <c r="Q8"/>
      <c r="R8"/>
      <c r="S8"/>
      <c r="T8"/>
      <c r="U8"/>
    </row>
    <row r="9" spans="2:21" ht="21" customHeight="1">
      <c r="B9" s="248"/>
      <c r="C9" s="248"/>
      <c r="D9" s="248"/>
      <c r="E9" s="248"/>
      <c r="F9" s="248"/>
      <c r="G9" s="702"/>
      <c r="H9" s="914"/>
      <c r="I9" s="915"/>
      <c r="O9"/>
      <c r="P9"/>
      <c r="Q9"/>
      <c r="R9"/>
      <c r="S9"/>
      <c r="T9"/>
      <c r="U9"/>
    </row>
    <row r="10" spans="2:21" ht="21" customHeight="1">
      <c r="B10" s="248" t="s">
        <v>254</v>
      </c>
      <c r="C10" s="248"/>
      <c r="D10" s="248"/>
      <c r="E10" s="248"/>
      <c r="F10" s="248"/>
      <c r="G10" s="450"/>
      <c r="H10" s="1306" t="s">
        <v>627</v>
      </c>
      <c r="I10" s="1307"/>
      <c r="O10"/>
      <c r="P10"/>
      <c r="Q10"/>
      <c r="R10"/>
      <c r="S10"/>
      <c r="T10"/>
      <c r="U10"/>
    </row>
    <row r="11" spans="2:21" ht="21" customHeight="1" thickBot="1">
      <c r="B11" s="248" t="str">
        <f>'49a-Utility2'!B11</f>
        <v>Outstanding - December 31, 2024</v>
      </c>
      <c r="C11" s="248"/>
      <c r="D11" s="248"/>
      <c r="E11" s="248"/>
      <c r="F11" s="248"/>
      <c r="G11" s="758">
        <f>+H7+H8-G10</f>
        <v>0</v>
      </c>
      <c r="H11" s="1300" t="s">
        <v>627</v>
      </c>
      <c r="I11" s="1301"/>
      <c r="O11"/>
      <c r="P11"/>
      <c r="Q11"/>
      <c r="R11"/>
      <c r="S11"/>
      <c r="T11"/>
      <c r="U11"/>
    </row>
    <row r="12" spans="2:21" ht="21" customHeight="1" thickBot="1">
      <c r="G12" s="755">
        <f>SUM(G7:G11)</f>
        <v>0</v>
      </c>
      <c r="H12" s="1304">
        <f>SUM(H7:I11)</f>
        <v>0</v>
      </c>
      <c r="I12" s="1305"/>
      <c r="O12"/>
      <c r="P12"/>
      <c r="Q12"/>
      <c r="R12"/>
      <c r="S12"/>
      <c r="T12"/>
      <c r="U12"/>
    </row>
    <row r="13" spans="2:21" ht="21" customHeight="1" thickTop="1">
      <c r="B13" s="333" t="str">
        <f>'49a-Utility3'!B13</f>
        <v>2025 Loan Maturities</v>
      </c>
      <c r="C13" s="333"/>
      <c r="D13" s="333"/>
      <c r="E13" s="333"/>
      <c r="F13" s="333"/>
      <c r="G13" s="333"/>
      <c r="H13" s="333"/>
      <c r="I13" s="381"/>
      <c r="J13" s="333" t="s">
        <v>373</v>
      </c>
      <c r="K13" s="1311"/>
      <c r="L13" s="1311"/>
      <c r="O13"/>
      <c r="P13"/>
      <c r="Q13"/>
      <c r="R13"/>
      <c r="S13"/>
      <c r="T13"/>
      <c r="U13"/>
    </row>
    <row r="14" spans="2:21" ht="21" customHeight="1" thickBot="1">
      <c r="B14" s="333" t="str">
        <f>'49a-Utility3'!B14</f>
        <v>2025 Interest on Loans</v>
      </c>
      <c r="C14" s="311"/>
      <c r="D14" s="311"/>
      <c r="E14" s="311"/>
      <c r="F14" s="311"/>
      <c r="G14" s="380"/>
      <c r="H14" s="311" t="s">
        <v>373</v>
      </c>
      <c r="I14" s="519"/>
      <c r="O14"/>
      <c r="P14"/>
      <c r="Q14"/>
      <c r="R14"/>
      <c r="S14"/>
      <c r="T14"/>
      <c r="U14"/>
    </row>
    <row r="15" spans="2:21" ht="16.5" customHeight="1" thickTop="1" thickBot="1">
      <c r="B15" s="1402"/>
      <c r="C15" s="1402"/>
      <c r="D15" s="1402"/>
      <c r="E15" s="1402"/>
      <c r="F15" s="1402"/>
      <c r="G15" s="1402"/>
      <c r="H15" s="1402"/>
      <c r="I15" s="1403"/>
      <c r="O15"/>
      <c r="P15"/>
      <c r="Q15"/>
      <c r="R15"/>
      <c r="S15"/>
      <c r="T15"/>
      <c r="U15"/>
    </row>
    <row r="16" spans="2:21" ht="16.2" thickBot="1">
      <c r="B16" s="1420" t="str">
        <f>UPPER('KEY INPUTS'!D$58)&amp;" UTILITY "&amp;IF(R16&lt;&gt;"",(UPPER(R16)),"")&amp;" LOAN"</f>
        <v xml:space="preserve"> UTILITY  LOAN</v>
      </c>
      <c r="C16" s="1420"/>
      <c r="D16" s="1420"/>
      <c r="E16" s="1420"/>
      <c r="F16" s="1420"/>
      <c r="G16" s="1420"/>
      <c r="H16" s="1420"/>
      <c r="I16" s="1421"/>
      <c r="O16"/>
      <c r="P16"/>
      <c r="Q16" s="1056" t="s">
        <v>3576</v>
      </c>
      <c r="R16" s="1057"/>
      <c r="S16"/>
      <c r="T16"/>
      <c r="U16"/>
    </row>
    <row r="17" spans="2:21" ht="21" customHeight="1" thickTop="1">
      <c r="B17" s="363" t="str">
        <f>'49a-Utility2'!B7</f>
        <v>Outstanding - January 1, 2024</v>
      </c>
      <c r="C17" s="313"/>
      <c r="D17" s="313"/>
      <c r="E17" s="313"/>
      <c r="F17" s="313"/>
      <c r="G17" s="757" t="s">
        <v>627</v>
      </c>
      <c r="H17" s="1293"/>
      <c r="I17" s="1294"/>
      <c r="O17"/>
      <c r="P17"/>
      <c r="Q17"/>
      <c r="R17"/>
      <c r="S17"/>
      <c r="T17"/>
      <c r="U17"/>
    </row>
    <row r="18" spans="2:21" ht="21" customHeight="1">
      <c r="B18" s="248" t="s">
        <v>92</v>
      </c>
      <c r="C18" s="248"/>
      <c r="D18" s="248"/>
      <c r="E18" s="248"/>
      <c r="F18" s="248"/>
      <c r="G18" s="702" t="s">
        <v>627</v>
      </c>
      <c r="H18" s="1291"/>
      <c r="I18" s="1292"/>
      <c r="O18"/>
      <c r="P18"/>
      <c r="Q18"/>
      <c r="R18"/>
      <c r="S18"/>
      <c r="T18"/>
      <c r="U18"/>
    </row>
    <row r="19" spans="2:21" ht="21" customHeight="1">
      <c r="B19" s="248" t="s">
        <v>254</v>
      </c>
      <c r="C19" s="248"/>
      <c r="D19" s="248"/>
      <c r="E19" s="248"/>
      <c r="F19" s="248"/>
      <c r="G19" s="450"/>
      <c r="H19" s="1306" t="s">
        <v>627</v>
      </c>
      <c r="I19" s="1307"/>
      <c r="O19"/>
      <c r="P19"/>
      <c r="Q19"/>
      <c r="R19"/>
      <c r="S19"/>
      <c r="T19"/>
      <c r="U19"/>
    </row>
    <row r="20" spans="2:21" ht="21" customHeight="1">
      <c r="B20" s="248"/>
      <c r="C20" s="248"/>
      <c r="D20" s="248"/>
      <c r="E20" s="248"/>
      <c r="F20" s="248"/>
      <c r="G20" s="767"/>
      <c r="H20" s="1308"/>
      <c r="I20" s="1309"/>
      <c r="O20"/>
      <c r="P20"/>
      <c r="Q20"/>
      <c r="R20"/>
      <c r="S20"/>
      <c r="T20"/>
      <c r="U20"/>
    </row>
    <row r="21" spans="2:21" ht="21" customHeight="1">
      <c r="B21" s="248"/>
      <c r="C21" s="248"/>
      <c r="D21" s="248"/>
      <c r="E21" s="248"/>
      <c r="F21" s="248"/>
      <c r="G21" s="767"/>
      <c r="H21" s="1308"/>
      <c r="I21" s="1309"/>
      <c r="O21"/>
      <c r="P21"/>
      <c r="Q21"/>
      <c r="R21"/>
      <c r="S21"/>
      <c r="T21"/>
      <c r="U21"/>
    </row>
    <row r="22" spans="2:21" ht="21" customHeight="1" thickBot="1">
      <c r="B22" s="248" t="str">
        <f>'49a-Utility2'!B11</f>
        <v>Outstanding - December 31, 2024</v>
      </c>
      <c r="C22" s="248"/>
      <c r="D22" s="248"/>
      <c r="E22" s="248"/>
      <c r="F22" s="248"/>
      <c r="G22" s="758">
        <f>+H17+H18-G19-G20-G21+H20+H21</f>
        <v>0</v>
      </c>
      <c r="H22" s="1300" t="s">
        <v>627</v>
      </c>
      <c r="I22" s="1301"/>
      <c r="O22"/>
      <c r="P22"/>
      <c r="Q22"/>
      <c r="R22"/>
      <c r="S22"/>
      <c r="T22"/>
      <c r="U22"/>
    </row>
    <row r="23" spans="2:21" ht="21" customHeight="1" thickBot="1">
      <c r="G23" s="755">
        <f>SUM(G17:G22)</f>
        <v>0</v>
      </c>
      <c r="H23" s="1304">
        <f>SUM(H17:I22)</f>
        <v>0</v>
      </c>
      <c r="I23" s="1305"/>
    </row>
    <row r="24" spans="2:21" ht="21" customHeight="1" thickTop="1">
      <c r="B24" s="333" t="str">
        <f>B13</f>
        <v>2025 Loan Maturities</v>
      </c>
      <c r="C24" s="333"/>
      <c r="D24" s="333"/>
      <c r="E24" s="333"/>
      <c r="F24" s="333"/>
      <c r="G24" s="333"/>
      <c r="H24" s="333"/>
      <c r="I24" s="381"/>
      <c r="J24" s="333" t="s">
        <v>373</v>
      </c>
      <c r="K24" s="1311"/>
      <c r="L24" s="1311"/>
    </row>
    <row r="25" spans="2:21" ht="21" customHeight="1" thickBot="1">
      <c r="B25" s="311" t="str">
        <f>B14</f>
        <v>2025 Interest on Loans</v>
      </c>
      <c r="C25" s="311"/>
      <c r="D25" s="311"/>
      <c r="E25" s="311"/>
      <c r="F25" s="311"/>
      <c r="G25" s="380"/>
      <c r="H25" s="311" t="s">
        <v>373</v>
      </c>
      <c r="I25" s="456"/>
      <c r="J25" s="375"/>
      <c r="K25" s="311"/>
      <c r="L25" s="311"/>
    </row>
    <row r="26" spans="2:21" ht="21" customHeight="1" thickTop="1"/>
    <row r="27" spans="2:21" ht="19.5" customHeight="1" thickBot="1">
      <c r="B27" s="1420" t="str">
        <f>"INTEREST  ON  LOANS  - "&amp;UPPER('KEY INPUTS'!D58)&amp;"  UTILITY  BUDGET"</f>
        <v>INTEREST  ON  LOANS  -   UTILITY  BUDGET</v>
      </c>
      <c r="C27" s="1420"/>
      <c r="D27" s="1420"/>
      <c r="E27" s="1420"/>
      <c r="F27" s="1420"/>
      <c r="G27" s="1420"/>
      <c r="H27" s="1420"/>
      <c r="I27" s="1420"/>
      <c r="J27" s="1420"/>
      <c r="K27" s="1420"/>
      <c r="L27" s="1420"/>
    </row>
    <row r="28" spans="2:21" ht="21" customHeight="1" thickTop="1">
      <c r="B28" s="313" t="str">
        <f>'49a-Utility1'!B28</f>
        <v>2025 Interest on Loans (*Items)</v>
      </c>
      <c r="C28" s="313"/>
      <c r="D28" s="313"/>
      <c r="E28" s="313"/>
      <c r="F28" s="313"/>
      <c r="G28" s="313"/>
      <c r="H28" s="313" t="s">
        <v>373</v>
      </c>
      <c r="I28" s="384">
        <f>+I25+I14</f>
        <v>0</v>
      </c>
    </row>
    <row r="29" spans="2:21" ht="21" customHeight="1">
      <c r="B29" s="248" t="str">
        <f>'49a-Utility1'!B29</f>
        <v>Less: Interest Accrued to 12/31/2024 (Trial Balance)</v>
      </c>
      <c r="C29" s="248"/>
      <c r="D29" s="248"/>
      <c r="E29" s="248"/>
      <c r="F29" s="248"/>
      <c r="G29" s="248"/>
      <c r="H29" s="248" t="s">
        <v>373</v>
      </c>
      <c r="I29" s="499"/>
    </row>
    <row r="30" spans="2:21" ht="21" customHeight="1">
      <c r="B30" s="248"/>
      <c r="C30" s="248" t="s">
        <v>317</v>
      </c>
      <c r="D30" s="248"/>
      <c r="E30" s="248"/>
      <c r="F30" s="248"/>
      <c r="G30" s="248"/>
      <c r="H30" s="248" t="s">
        <v>373</v>
      </c>
      <c r="I30" s="379">
        <f>+I28-I29</f>
        <v>0</v>
      </c>
    </row>
    <row r="31" spans="2:21" ht="21" customHeight="1">
      <c r="B31" s="248" t="str">
        <f>'49a-Utility1'!B31</f>
        <v>Add: Interest to be Accrued as of 12/31/2025</v>
      </c>
      <c r="C31" s="248"/>
      <c r="D31" s="248"/>
      <c r="E31" s="248"/>
      <c r="F31" s="248"/>
      <c r="G31" s="248"/>
      <c r="H31" s="248" t="s">
        <v>373</v>
      </c>
      <c r="I31" s="499"/>
    </row>
    <row r="32" spans="2:21" ht="21" customHeight="1">
      <c r="B32" s="248" t="str">
        <f>'49a-Utility1'!B32</f>
        <v>Required Appropriation 2025</v>
      </c>
      <c r="C32" s="248"/>
      <c r="D32" s="248"/>
      <c r="E32" s="248"/>
      <c r="F32" s="248"/>
      <c r="G32" s="248"/>
      <c r="H32" s="248"/>
      <c r="I32" s="312"/>
      <c r="J32" s="376" t="s">
        <v>373</v>
      </c>
      <c r="K32" s="1414">
        <f>+I30+I31</f>
        <v>0</v>
      </c>
      <c r="L32" s="1415"/>
    </row>
    <row r="33" spans="2:12" ht="13.5" customHeight="1">
      <c r="K33" s="378"/>
      <c r="L33" s="302"/>
    </row>
    <row r="34" spans="2:12" ht="13.5" customHeight="1">
      <c r="K34" s="378"/>
      <c r="L34" s="302"/>
    </row>
    <row r="35" spans="2:12" ht="21" customHeight="1" thickBot="1">
      <c r="B35" s="1404" t="str">
        <f>'49-Utility1'!B35</f>
        <v>LIST  OF  BONDS  ISSUED  DURING  2024</v>
      </c>
      <c r="C35" s="1404"/>
      <c r="D35" s="1404"/>
      <c r="E35" s="1404"/>
      <c r="F35" s="1404"/>
      <c r="G35" s="1404"/>
      <c r="H35" s="1404"/>
      <c r="I35" s="1404"/>
      <c r="J35" s="1404"/>
      <c r="K35" s="1404"/>
      <c r="L35" s="1404"/>
    </row>
    <row r="36" spans="2:12" ht="27" customHeight="1" thickTop="1" thickBot="1">
      <c r="B36" s="1350" t="s">
        <v>413</v>
      </c>
      <c r="C36" s="1350"/>
      <c r="D36" s="1350"/>
      <c r="E36" s="1350"/>
      <c r="F36" s="1350"/>
      <c r="G36" s="304" t="str">
        <f>'49a-Utility2'!G36</f>
        <v>2025 Maturity</v>
      </c>
      <c r="H36" s="1401" t="s">
        <v>91</v>
      </c>
      <c r="I36" s="1351"/>
      <c r="J36" s="1399" t="s">
        <v>89</v>
      </c>
      <c r="K36" s="1400"/>
      <c r="L36" s="377" t="s">
        <v>90</v>
      </c>
    </row>
    <row r="37" spans="2:12" ht="21" customHeight="1" thickTop="1">
      <c r="B37" s="518"/>
      <c r="C37" s="518"/>
      <c r="D37" s="518"/>
      <c r="E37" s="518"/>
      <c r="F37" s="518"/>
      <c r="G37" s="454"/>
      <c r="H37" s="1293"/>
      <c r="I37" s="1294"/>
      <c r="J37" s="1422"/>
      <c r="K37" s="1417"/>
      <c r="L37" s="669"/>
    </row>
    <row r="38" spans="2:12" ht="21" customHeight="1">
      <c r="B38" s="495"/>
      <c r="C38" s="495"/>
      <c r="D38" s="495"/>
      <c r="E38" s="495"/>
      <c r="F38" s="495"/>
      <c r="G38" s="450"/>
      <c r="H38" s="1291"/>
      <c r="I38" s="1292"/>
      <c r="J38" s="1397"/>
      <c r="K38" s="1398"/>
      <c r="L38" s="670"/>
    </row>
    <row r="39" spans="2:12" ht="21" customHeight="1">
      <c r="B39" s="495"/>
      <c r="C39" s="495"/>
      <c r="D39" s="495"/>
      <c r="E39" s="495"/>
      <c r="F39" s="495"/>
      <c r="G39" s="450"/>
      <c r="H39" s="1291"/>
      <c r="I39" s="1292"/>
      <c r="J39" s="1397"/>
      <c r="K39" s="1398"/>
      <c r="L39" s="670"/>
    </row>
    <row r="40" spans="2:12" ht="21" customHeight="1">
      <c r="B40" s="495"/>
      <c r="C40" s="495"/>
      <c r="D40" s="495"/>
      <c r="E40" s="495"/>
      <c r="F40" s="495"/>
      <c r="G40" s="450"/>
      <c r="H40" s="1291"/>
      <c r="I40" s="1292"/>
      <c r="J40" s="1397"/>
      <c r="K40" s="1398"/>
      <c r="L40" s="670"/>
    </row>
    <row r="41" spans="2:12" ht="21" customHeight="1" thickBot="1">
      <c r="B41" s="311"/>
      <c r="C41" s="311"/>
      <c r="D41" s="311"/>
      <c r="E41" s="311"/>
      <c r="F41" s="310"/>
      <c r="G41" s="755">
        <f>SUM(G37:G40)</f>
        <v>0</v>
      </c>
      <c r="H41" s="1289">
        <f>SUM(H37:I40)</f>
        <v>0</v>
      </c>
      <c r="I41" s="1290"/>
      <c r="J41" s="375"/>
      <c r="K41" s="311"/>
      <c r="L41" s="315"/>
    </row>
    <row r="42" spans="2:12" ht="13.8" thickTop="1">
      <c r="G42" s="347"/>
      <c r="H42" s="347"/>
      <c r="I42" s="347"/>
    </row>
    <row r="51" spans="2:12" ht="13.8">
      <c r="B51" s="1353" t="s">
        <v>3166</v>
      </c>
      <c r="C51" s="1353"/>
      <c r="D51" s="1353"/>
      <c r="E51" s="1353"/>
      <c r="F51" s="1353"/>
      <c r="G51" s="1353"/>
      <c r="H51" s="1353"/>
      <c r="I51" s="1353"/>
      <c r="J51" s="1353"/>
      <c r="K51" s="1353"/>
      <c r="L51" s="1353"/>
    </row>
  </sheetData>
  <sheetProtection algorithmName="SHA-512" hashValue="jh1e6JerWPyR29Ah1asSLFJqkJ9KEyg5TXz+3f5cVLJCBpApriGFfF7r2tHqQIQ3Qy8wy7IrSV6a6Edrn+Vg6Q==" saltValue="+ExnI/K5ONrzS20ewZEziw=="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1:L51"/>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pageSetUpPr fitToPage="1"/>
  </sheetPr>
  <dimension ref="B3:K51"/>
  <sheetViews>
    <sheetView zoomScaleNormal="100" workbookViewId="0">
      <selection activeCell="G16" sqref="G16"/>
    </sheetView>
  </sheetViews>
  <sheetFormatPr defaultRowHeight="13.2"/>
  <cols>
    <col min="1" max="1" width="4.6640625" customWidth="1"/>
    <col min="2" max="2" width="4.88671875" customWidth="1"/>
    <col min="3" max="4" width="4.6640625" customWidth="1"/>
    <col min="5" max="5" width="30.6640625" customWidth="1"/>
    <col min="6" max="6" width="15.6640625" customWidth="1"/>
    <col min="7" max="8" width="22.88671875" bestFit="1" customWidth="1"/>
    <col min="9" max="9" width="13.5546875" bestFit="1" customWidth="1"/>
    <col min="10" max="10" width="11.88671875" bestFit="1" customWidth="1"/>
    <col min="11" max="11" width="10.33203125" bestFit="1" customWidth="1"/>
  </cols>
  <sheetData>
    <row r="3" spans="2:9" ht="22.8">
      <c r="B3" s="1176" t="s">
        <v>424</v>
      </c>
      <c r="C3" s="1176"/>
      <c r="D3" s="1176"/>
      <c r="E3" s="1176"/>
      <c r="F3" s="1176"/>
      <c r="G3" s="1176"/>
      <c r="H3" s="1176"/>
    </row>
    <row r="4" spans="2:9" ht="22.8">
      <c r="B4" s="1176" t="s">
        <v>190</v>
      </c>
      <c r="C4" s="1176"/>
      <c r="D4" s="1176"/>
      <c r="E4" s="1176"/>
      <c r="F4" s="1176"/>
      <c r="G4" s="1176"/>
      <c r="H4" s="1176"/>
    </row>
    <row r="5" spans="2:9" ht="13.8">
      <c r="B5" s="1196"/>
      <c r="C5" s="1196"/>
      <c r="D5" s="1196"/>
      <c r="E5" s="1196"/>
      <c r="F5" s="1196"/>
      <c r="G5" s="1196"/>
      <c r="H5" s="1196"/>
    </row>
    <row r="6" spans="2:9" ht="15.6">
      <c r="B6" s="1182" t="str">
        <f>IF('KEY INPUTS'!C42 = "State Fiscal Year", 'KEY INPUTS'!F45,'KEY INPUTS'!D45)</f>
        <v>AS  AT  DECEMBER  31, 2024</v>
      </c>
      <c r="C6" s="1132"/>
      <c r="D6" s="1132"/>
      <c r="E6" s="1132"/>
      <c r="F6" s="1132"/>
      <c r="G6" s="1132"/>
      <c r="H6" s="1132"/>
    </row>
    <row r="7" spans="2:9" ht="13.8" thickBot="1"/>
    <row r="8" spans="2:9" ht="36" customHeight="1" thickTop="1" thickBot="1">
      <c r="B8" s="1179" t="s">
        <v>95</v>
      </c>
      <c r="C8" s="1179"/>
      <c r="D8" s="1179"/>
      <c r="E8" s="1179"/>
      <c r="F8" s="1180"/>
      <c r="G8" s="564" t="s">
        <v>96</v>
      </c>
      <c r="H8" s="3" t="s">
        <v>97</v>
      </c>
    </row>
    <row r="9" spans="2:9" ht="21" customHeight="1" thickTop="1">
      <c r="B9" s="239" t="s">
        <v>3613</v>
      </c>
      <c r="G9" s="644">
        <f>+H10</f>
        <v>701850</v>
      </c>
      <c r="H9" s="567" t="s">
        <v>627</v>
      </c>
      <c r="I9" s="204"/>
    </row>
    <row r="10" spans="2:9" ht="21" customHeight="1">
      <c r="B10" s="5" t="s">
        <v>193</v>
      </c>
      <c r="C10" s="5"/>
      <c r="D10" s="5"/>
      <c r="E10" s="5"/>
      <c r="F10" s="5"/>
      <c r="G10" s="645" t="s">
        <v>627</v>
      </c>
      <c r="H10" s="566">
        <v>701850</v>
      </c>
      <c r="I10" s="204"/>
    </row>
    <row r="11" spans="2:9" ht="21" customHeight="1">
      <c r="B11" s="5"/>
      <c r="C11" s="5"/>
      <c r="D11" s="5"/>
      <c r="E11" s="5"/>
      <c r="F11" s="5"/>
      <c r="G11" s="646"/>
      <c r="H11" s="271"/>
    </row>
    <row r="12" spans="2:9" ht="21" customHeight="1">
      <c r="B12" s="5"/>
      <c r="C12" s="5" t="s">
        <v>351</v>
      </c>
      <c r="D12" s="5"/>
      <c r="E12" s="5"/>
      <c r="F12" s="5"/>
      <c r="G12" s="646">
        <f>+'9-Cash Reconciliation'!I15</f>
        <v>370360.07</v>
      </c>
      <c r="H12" s="566"/>
      <c r="I12" s="576"/>
    </row>
    <row r="13" spans="2:9" ht="21" customHeight="1">
      <c r="B13" s="5"/>
      <c r="C13" s="417"/>
      <c r="D13" s="417"/>
      <c r="E13" s="417"/>
      <c r="F13" s="417"/>
      <c r="G13" s="289"/>
      <c r="H13" s="419"/>
    </row>
    <row r="14" spans="2:9" ht="21" customHeight="1">
      <c r="B14" s="5"/>
      <c r="C14" s="418" t="s">
        <v>3762</v>
      </c>
      <c r="D14" s="417"/>
      <c r="E14" s="417"/>
      <c r="F14" s="417"/>
      <c r="G14" s="440">
        <v>312525.46000000002</v>
      </c>
      <c r="H14" s="419"/>
      <c r="I14" s="204"/>
    </row>
    <row r="15" spans="2:9" ht="21" customHeight="1">
      <c r="B15" s="5"/>
      <c r="C15" s="418" t="s">
        <v>3690</v>
      </c>
      <c r="D15" s="417"/>
      <c r="E15" s="417"/>
      <c r="F15" s="417"/>
      <c r="G15" s="289">
        <v>242317.25</v>
      </c>
      <c r="H15" s="419"/>
      <c r="I15" s="204"/>
    </row>
    <row r="16" spans="2:9" ht="21" customHeight="1">
      <c r="B16" s="5"/>
      <c r="C16" s="495" t="s">
        <v>889</v>
      </c>
      <c r="D16" s="417"/>
      <c r="E16" s="417"/>
      <c r="F16" s="417"/>
      <c r="G16" s="289"/>
      <c r="H16" s="419"/>
      <c r="I16" s="204"/>
    </row>
    <row r="17" spans="2:11" ht="21" customHeight="1">
      <c r="B17" s="5"/>
      <c r="C17" s="5" t="s">
        <v>801</v>
      </c>
      <c r="D17" s="5"/>
      <c r="E17" s="5"/>
      <c r="F17" s="5"/>
      <c r="G17" s="289"/>
      <c r="H17" s="419"/>
    </row>
    <row r="18" spans="2:11" ht="21" customHeight="1">
      <c r="B18" s="5"/>
      <c r="C18" s="5"/>
      <c r="D18" s="5" t="s">
        <v>799</v>
      </c>
      <c r="E18" s="5"/>
      <c r="F18" s="5"/>
      <c r="G18" s="440"/>
      <c r="H18" s="419"/>
      <c r="I18" s="575"/>
    </row>
    <row r="19" spans="2:11" ht="21" customHeight="1">
      <c r="B19" s="5"/>
      <c r="C19" s="5"/>
      <c r="D19" s="5" t="s">
        <v>800</v>
      </c>
      <c r="E19" s="5"/>
      <c r="F19" s="5"/>
      <c r="G19" s="565">
        <v>943850</v>
      </c>
      <c r="H19" s="566"/>
      <c r="I19" s="204"/>
      <c r="J19" s="204"/>
      <c r="K19" s="204"/>
    </row>
    <row r="20" spans="2:11" ht="21" customHeight="1">
      <c r="B20" s="5"/>
      <c r="C20" s="417"/>
      <c r="D20" s="417"/>
      <c r="E20" s="417"/>
      <c r="F20" s="417"/>
      <c r="G20" s="289"/>
      <c r="H20" s="419"/>
    </row>
    <row r="21" spans="2:11" ht="21" customHeight="1">
      <c r="B21" s="5"/>
      <c r="C21" s="418" t="s">
        <v>3196</v>
      </c>
      <c r="D21" s="417"/>
      <c r="E21" s="417"/>
      <c r="F21" s="417"/>
      <c r="G21" s="289"/>
      <c r="H21" s="419"/>
    </row>
    <row r="22" spans="2:11" ht="21" customHeight="1">
      <c r="B22" s="5"/>
      <c r="C22" s="418"/>
      <c r="D22" s="417"/>
      <c r="E22" s="417"/>
      <c r="F22" s="417"/>
      <c r="G22" s="565"/>
      <c r="H22" s="566"/>
    </row>
    <row r="23" spans="2:11" ht="21" customHeight="1">
      <c r="B23" s="5"/>
      <c r="C23" s="417"/>
      <c r="D23" s="417"/>
      <c r="E23" s="417"/>
      <c r="F23" s="417"/>
      <c r="G23" s="289"/>
      <c r="H23" s="419"/>
    </row>
    <row r="24" spans="2:11" ht="21" customHeight="1">
      <c r="B24" s="5"/>
      <c r="C24" s="417"/>
      <c r="D24" s="417"/>
      <c r="E24" s="417"/>
      <c r="F24" s="417"/>
      <c r="G24" s="289"/>
      <c r="H24" s="419"/>
    </row>
    <row r="25" spans="2:11" ht="21" customHeight="1">
      <c r="B25" s="5"/>
      <c r="C25" s="417"/>
      <c r="D25" s="417"/>
      <c r="E25" s="417"/>
      <c r="F25" s="417"/>
      <c r="G25" s="289"/>
      <c r="H25" s="419"/>
      <c r="I25" s="552"/>
    </row>
    <row r="26" spans="2:11" ht="21" customHeight="1">
      <c r="B26" s="5"/>
      <c r="C26" s="418"/>
      <c r="D26" s="417"/>
      <c r="E26" s="417"/>
      <c r="F26" s="417"/>
      <c r="G26" s="565"/>
      <c r="H26" s="566"/>
      <c r="I26" s="552"/>
    </row>
    <row r="27" spans="2:11" ht="21" customHeight="1">
      <c r="B27" s="5"/>
      <c r="C27" s="621"/>
      <c r="D27" s="417"/>
      <c r="E27" s="417"/>
      <c r="F27" s="417"/>
      <c r="G27" s="289"/>
      <c r="H27" s="419"/>
      <c r="I27" s="550"/>
    </row>
    <row r="28" spans="2:11" ht="21" customHeight="1">
      <c r="B28" s="5"/>
      <c r="C28" s="417"/>
      <c r="D28" s="417"/>
      <c r="E28" s="417"/>
      <c r="F28" s="417"/>
      <c r="G28" s="289"/>
      <c r="H28" s="419"/>
      <c r="I28" s="204"/>
    </row>
    <row r="29" spans="2:11" ht="21" customHeight="1">
      <c r="B29" s="5"/>
      <c r="C29" s="417"/>
      <c r="D29" s="417"/>
      <c r="E29" s="417"/>
      <c r="F29" s="417"/>
      <c r="G29" s="440"/>
      <c r="H29" s="568"/>
      <c r="I29" s="204"/>
    </row>
    <row r="30" spans="2:11" ht="21" customHeight="1">
      <c r="B30" s="5"/>
      <c r="C30" s="417"/>
      <c r="D30" s="417"/>
      <c r="E30" s="417"/>
      <c r="F30" s="417"/>
      <c r="G30" s="565"/>
      <c r="H30" s="566"/>
      <c r="I30" s="204"/>
    </row>
    <row r="31" spans="2:11" ht="21" customHeight="1">
      <c r="B31" s="5"/>
      <c r="C31" s="417"/>
      <c r="D31" s="417"/>
      <c r="E31" s="417"/>
      <c r="F31" s="417"/>
      <c r="G31" s="289"/>
      <c r="H31" s="419"/>
    </row>
    <row r="32" spans="2:11" ht="21" customHeight="1">
      <c r="B32" s="5"/>
      <c r="C32" s="417"/>
      <c r="D32" s="417"/>
      <c r="E32" s="417"/>
      <c r="F32" s="417"/>
      <c r="G32" s="289"/>
      <c r="H32" s="419"/>
    </row>
    <row r="33" spans="2:9" ht="21" customHeight="1">
      <c r="B33" s="5"/>
      <c r="C33" s="417"/>
      <c r="D33" s="417"/>
      <c r="E33" s="417"/>
      <c r="F33" s="417"/>
      <c r="G33" s="289"/>
      <c r="H33" s="419"/>
      <c r="I33" s="552"/>
    </row>
    <row r="34" spans="2:9" ht="21" customHeight="1">
      <c r="B34" s="5"/>
      <c r="C34" s="417"/>
      <c r="D34" s="417"/>
      <c r="E34" s="417"/>
      <c r="F34" s="417"/>
      <c r="G34" s="565"/>
      <c r="H34" s="419"/>
      <c r="I34" s="552"/>
    </row>
    <row r="35" spans="2:9" ht="21" customHeight="1">
      <c r="B35" s="5"/>
      <c r="C35" s="417"/>
      <c r="D35" s="417"/>
      <c r="E35" s="417"/>
      <c r="F35" s="417"/>
      <c r="G35" s="289"/>
      <c r="H35" s="419"/>
    </row>
    <row r="36" spans="2:9" ht="21" customHeight="1">
      <c r="B36" s="5"/>
      <c r="C36" s="418"/>
      <c r="D36" s="417"/>
      <c r="E36" s="417"/>
      <c r="F36" s="417"/>
      <c r="G36" s="565"/>
      <c r="H36" s="566"/>
      <c r="I36" s="204"/>
    </row>
    <row r="37" spans="2:9" ht="21" customHeight="1">
      <c r="B37" s="5"/>
      <c r="C37" s="417"/>
      <c r="D37" s="417"/>
      <c r="E37" s="417"/>
      <c r="F37" s="417"/>
      <c r="G37" s="289"/>
      <c r="H37" s="419"/>
    </row>
    <row r="38" spans="2:9" ht="21" customHeight="1">
      <c r="B38" s="5"/>
      <c r="C38" s="418"/>
      <c r="D38" s="417"/>
      <c r="E38" s="417"/>
      <c r="F38" s="417"/>
      <c r="G38" s="289"/>
      <c r="H38" s="568"/>
      <c r="I38" s="204"/>
    </row>
    <row r="39" spans="2:9" ht="21" customHeight="1">
      <c r="B39" s="5"/>
      <c r="C39" s="417"/>
      <c r="D39" s="417"/>
      <c r="E39" s="417"/>
      <c r="F39" s="417"/>
      <c r="G39" s="289"/>
      <c r="H39" s="419"/>
      <c r="I39" s="552"/>
    </row>
    <row r="40" spans="2:9" ht="21" customHeight="1">
      <c r="B40" s="5"/>
      <c r="C40" s="418"/>
      <c r="D40" s="417"/>
      <c r="E40" s="417"/>
      <c r="F40" s="417"/>
      <c r="G40" s="289"/>
      <c r="H40" s="419"/>
      <c r="I40" s="550"/>
    </row>
    <row r="41" spans="2:9" ht="21" customHeight="1">
      <c r="B41" s="5"/>
      <c r="C41" s="300"/>
      <c r="D41" s="300"/>
      <c r="E41" s="300"/>
      <c r="F41" s="300"/>
      <c r="G41" s="470"/>
      <c r="H41" s="300"/>
      <c r="I41" s="204"/>
    </row>
    <row r="42" spans="2:9" ht="21" customHeight="1">
      <c r="B42" s="5"/>
      <c r="C42" s="417"/>
      <c r="D42" s="417"/>
      <c r="E42" s="417"/>
      <c r="F42" s="417"/>
      <c r="G42" s="289"/>
      <c r="H42" s="419"/>
    </row>
    <row r="43" spans="2:9" ht="21" customHeight="1" thickBot="1">
      <c r="B43" s="5"/>
      <c r="C43" s="417"/>
      <c r="D43" s="417"/>
      <c r="E43" s="417"/>
      <c r="F43" s="417"/>
      <c r="G43" s="435"/>
      <c r="H43" s="434"/>
      <c r="I43" s="550"/>
    </row>
    <row r="44" spans="2:9" ht="21" customHeight="1" thickBot="1">
      <c r="B44" s="5"/>
      <c r="C44" s="263" t="s">
        <v>3262</v>
      </c>
      <c r="D44" s="5"/>
      <c r="E44" s="5"/>
      <c r="F44" s="5"/>
      <c r="G44" s="199">
        <f>SUM(G9:G43)</f>
        <v>2570902.7800000003</v>
      </c>
      <c r="H44" s="200">
        <f>SUM(H9:H43)</f>
        <v>701850</v>
      </c>
      <c r="I44" s="204"/>
    </row>
    <row r="45" spans="2:9" ht="13.8" thickTop="1">
      <c r="B45" s="1158" t="s">
        <v>98</v>
      </c>
      <c r="C45" s="1158"/>
      <c r="D45" s="1158"/>
      <c r="E45" s="1158"/>
      <c r="F45" s="1158"/>
      <c r="G45" s="1158"/>
      <c r="H45" s="1158"/>
    </row>
    <row r="46" spans="2:9">
      <c r="B46" s="1"/>
      <c r="C46" s="1"/>
      <c r="D46" s="1"/>
      <c r="E46" s="1"/>
      <c r="F46" s="1"/>
      <c r="G46" s="1"/>
      <c r="H46" s="1"/>
    </row>
    <row r="48" spans="2:9" ht="13.8">
      <c r="B48" s="1130" t="s">
        <v>191</v>
      </c>
      <c r="C48" s="1130"/>
      <c r="D48" s="1130"/>
      <c r="E48" s="1130"/>
      <c r="F48" s="1130"/>
      <c r="G48" s="1130"/>
      <c r="H48" s="1130"/>
    </row>
    <row r="50" spans="8:8">
      <c r="H50" s="204"/>
    </row>
    <row r="51" spans="8:8">
      <c r="H51" s="204"/>
    </row>
  </sheetData>
  <sheetProtection algorithmName="SHA-512" hashValue="bp39vprwGy3Hckrm8l3i44SHfg3iOErIMbvbWmfcHW3fUeJsZM0bQ2xRyiDU8AtEwHvmRQnQTytWYhuuCaPacg==" saltValue="CJwwIcnOb/euRvzF7MYsmg==" spinCount="100000" sheet="1" objects="1" scenarios="1"/>
  <mergeCells count="7">
    <mergeCell ref="B8:F8"/>
    <mergeCell ref="B45:H45"/>
    <mergeCell ref="B48:H48"/>
    <mergeCell ref="B3:H3"/>
    <mergeCell ref="B4:H4"/>
    <mergeCell ref="B6:H6"/>
    <mergeCell ref="B5:H5"/>
  </mergeCells>
  <phoneticPr fontId="0" type="noConversion"/>
  <pageMargins left="0.25" right="0.25" top="0.5" bottom="0.5" header="0.25" footer="0.25"/>
  <pageSetup scale="76" orientation="portrait" r:id="rId1"/>
  <headerFooter alignWithMargins="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D2E02-AD87-4698-907C-906B59F729FF}">
  <sheetPr codeName="Sheet259">
    <tabColor theme="7" tint="0.39997558519241921"/>
  </sheetPr>
  <dimension ref="B2:U51"/>
  <sheetViews>
    <sheetView zoomScaleNormal="100" zoomScaleSheetLayoutView="80" workbookViewId="0">
      <selection activeCell="G37" sqref="G37"/>
    </sheetView>
  </sheetViews>
  <sheetFormatPr defaultColWidth="9.109375" defaultRowHeight="13.2"/>
  <cols>
    <col min="1" max="3" width="4.6640625" style="267" customWidth="1"/>
    <col min="4" max="4" width="4.5546875" style="267" customWidth="1"/>
    <col min="5" max="5" width="17.88671875" style="267" customWidth="1"/>
    <col min="6" max="6" width="9.109375" style="267"/>
    <col min="7" max="7" width="16.6640625" style="267" customWidth="1"/>
    <col min="8" max="8" width="1.6640625" style="267" customWidth="1"/>
    <col min="9" max="9" width="15.6640625" style="267" customWidth="1"/>
    <col min="10" max="10" width="1.6640625" style="267" customWidth="1"/>
    <col min="11" max="11" width="8.6640625" style="267" customWidth="1"/>
    <col min="12" max="12" width="7.6640625" style="267" customWidth="1"/>
    <col min="13" max="16" width="9.109375" style="267"/>
    <col min="17" max="17" width="11.109375" style="267" bestFit="1" customWidth="1"/>
    <col min="18" max="18" width="14.44140625" style="267" customWidth="1"/>
    <col min="19" max="16384" width="9.109375" style="267"/>
  </cols>
  <sheetData>
    <row r="2" spans="2:21" ht="20.399999999999999">
      <c r="B2" s="1363" t="s">
        <v>480</v>
      </c>
      <c r="C2" s="1363"/>
      <c r="D2" s="1363"/>
      <c r="E2" s="1363"/>
      <c r="F2" s="1363"/>
      <c r="G2" s="1363"/>
      <c r="H2" s="1363"/>
      <c r="I2" s="1363"/>
      <c r="J2" s="1363"/>
      <c r="K2" s="1363"/>
      <c r="L2" s="1363"/>
    </row>
    <row r="3" spans="2:21" ht="21" thickBot="1">
      <c r="B3" s="1363" t="str">
        <f>" AND  "&amp;IF('KEY INPUTS'!C42="State Fiscal Year","FISCAL  YEAR  "&amp;'KEY INPUTS'!D33+1&amp;"",'KEY INPUTS'!D34+1)&amp;"  DEBT  SERVICE  FOR  LOANS"</f>
        <v xml:space="preserve"> AND  2025  DEBT  SERVICE  FOR  LOANS</v>
      </c>
      <c r="C3" s="1363"/>
      <c r="D3" s="1363"/>
      <c r="E3" s="1363"/>
      <c r="F3" s="1363"/>
      <c r="G3" s="1363"/>
      <c r="H3" s="1363"/>
      <c r="I3" s="1363"/>
      <c r="J3" s="1363"/>
      <c r="K3" s="1363"/>
      <c r="L3" s="1363"/>
    </row>
    <row r="4" spans="2:21" ht="16.2" thickBot="1">
      <c r="B4" s="1360" t="str">
        <f>UPPER('KEY INPUTS'!D$58)&amp;" UTILITY "&amp;IF(R4&lt;&gt;"",(UPPER(R4)),"")&amp;" LOAN"</f>
        <v xml:space="preserve"> UTILITY  LOAN</v>
      </c>
      <c r="C4" s="1360"/>
      <c r="D4" s="1360"/>
      <c r="E4" s="1360"/>
      <c r="F4" s="1360"/>
      <c r="G4" s="1360"/>
      <c r="H4" s="1360"/>
      <c r="I4" s="1360"/>
      <c r="J4" s="1360"/>
      <c r="K4" s="1360"/>
      <c r="L4" s="1360"/>
      <c r="Q4" s="1056" t="s">
        <v>3576</v>
      </c>
      <c r="R4" s="1057"/>
    </row>
    <row r="5" spans="2:21" ht="9.75" customHeight="1" thickBot="1">
      <c r="B5" s="383"/>
      <c r="C5" s="383"/>
      <c r="D5" s="383"/>
      <c r="E5" s="383"/>
      <c r="F5" s="383"/>
      <c r="G5" s="383"/>
      <c r="H5" s="383"/>
      <c r="I5" s="383"/>
      <c r="J5" s="383"/>
      <c r="K5" s="383"/>
      <c r="L5" s="383"/>
    </row>
    <row r="6" spans="2:21" ht="27.75" customHeight="1" thickTop="1" thickBot="1">
      <c r="B6" s="364"/>
      <c r="C6" s="364"/>
      <c r="D6" s="364"/>
      <c r="E6" s="364"/>
      <c r="F6" s="364"/>
      <c r="G6" s="304" t="s">
        <v>96</v>
      </c>
      <c r="H6" s="1401" t="s">
        <v>97</v>
      </c>
      <c r="I6" s="1351"/>
      <c r="J6" s="1407" t="str">
        <f>IF('KEY INPUTS'!C42="State Fiscal Year","Fiscal Year "&amp;'KEY INPUTS'!D33+1&amp;"",'KEY INPUTS'!D34+1)&amp;"  Debt Service"</f>
        <v>2025  Debt Service</v>
      </c>
      <c r="K6" s="1407"/>
      <c r="L6" s="1407"/>
      <c r="O6"/>
      <c r="P6"/>
      <c r="Q6"/>
      <c r="R6"/>
      <c r="S6"/>
      <c r="T6"/>
      <c r="U6"/>
    </row>
    <row r="7" spans="2:21" ht="21" customHeight="1" thickTop="1">
      <c r="B7" s="363" t="str">
        <f>'49a-Utility2'!B7</f>
        <v>Outstanding - January 1, 2024</v>
      </c>
      <c r="C7" s="313"/>
      <c r="D7" s="313"/>
      <c r="E7" s="313"/>
      <c r="F7" s="313"/>
      <c r="G7" s="757" t="s">
        <v>627</v>
      </c>
      <c r="H7" s="1293"/>
      <c r="I7" s="1294"/>
      <c r="O7"/>
      <c r="P7"/>
      <c r="Q7"/>
      <c r="R7"/>
      <c r="S7"/>
      <c r="T7"/>
      <c r="U7"/>
    </row>
    <row r="8" spans="2:21" ht="21" customHeight="1">
      <c r="B8" s="248" t="s">
        <v>92</v>
      </c>
      <c r="C8" s="248"/>
      <c r="D8" s="248"/>
      <c r="E8" s="248"/>
      <c r="F8" s="248"/>
      <c r="G8" s="702" t="s">
        <v>627</v>
      </c>
      <c r="H8" s="1291"/>
      <c r="I8" s="1292"/>
      <c r="O8" s="294"/>
      <c r="P8"/>
      <c r="Q8"/>
      <c r="R8"/>
      <c r="S8"/>
      <c r="T8"/>
      <c r="U8"/>
    </row>
    <row r="9" spans="2:21" ht="21" customHeight="1">
      <c r="B9" s="248"/>
      <c r="C9" s="248"/>
      <c r="D9" s="248"/>
      <c r="E9" s="248"/>
      <c r="F9" s="248"/>
      <c r="G9" s="702"/>
      <c r="H9" s="609"/>
      <c r="I9" s="915"/>
      <c r="O9"/>
      <c r="P9"/>
      <c r="Q9"/>
      <c r="R9"/>
      <c r="S9"/>
      <c r="T9"/>
      <c r="U9"/>
    </row>
    <row r="10" spans="2:21" ht="21" customHeight="1">
      <c r="B10" s="248" t="s">
        <v>254</v>
      </c>
      <c r="C10" s="248"/>
      <c r="D10" s="248"/>
      <c r="E10" s="248"/>
      <c r="F10" s="248"/>
      <c r="G10" s="450"/>
      <c r="H10" s="1306" t="s">
        <v>627</v>
      </c>
      <c r="I10" s="1307"/>
      <c r="O10"/>
      <c r="P10"/>
      <c r="Q10"/>
      <c r="R10"/>
      <c r="S10"/>
      <c r="T10"/>
      <c r="U10"/>
    </row>
    <row r="11" spans="2:21" ht="21" customHeight="1" thickBot="1">
      <c r="B11" s="248" t="str">
        <f>'49a-Utility2'!B11</f>
        <v>Outstanding - December 31, 2024</v>
      </c>
      <c r="C11" s="248"/>
      <c r="D11" s="248"/>
      <c r="E11" s="248"/>
      <c r="F11" s="248"/>
      <c r="G11" s="758">
        <f>+H7+H8-G10</f>
        <v>0</v>
      </c>
      <c r="H11" s="1300" t="s">
        <v>627</v>
      </c>
      <c r="I11" s="1301"/>
      <c r="O11"/>
      <c r="P11"/>
      <c r="Q11"/>
      <c r="R11"/>
      <c r="S11"/>
      <c r="T11"/>
      <c r="U11"/>
    </row>
    <row r="12" spans="2:21" ht="21" customHeight="1" thickBot="1">
      <c r="G12" s="755">
        <f>SUM(G7:G11)</f>
        <v>0</v>
      </c>
      <c r="H12" s="1304">
        <f>SUM(H7:I11)</f>
        <v>0</v>
      </c>
      <c r="I12" s="1305"/>
      <c r="O12"/>
      <c r="P12"/>
      <c r="Q12"/>
      <c r="R12"/>
      <c r="S12"/>
      <c r="T12"/>
      <c r="U12"/>
    </row>
    <row r="13" spans="2:21" ht="21" customHeight="1" thickTop="1">
      <c r="B13" s="333" t="str">
        <f>'49a-Utility3'!B13</f>
        <v>2025 Loan Maturities</v>
      </c>
      <c r="C13" s="333"/>
      <c r="D13" s="333"/>
      <c r="E13" s="333"/>
      <c r="F13" s="333"/>
      <c r="G13" s="333"/>
      <c r="H13" s="333"/>
      <c r="I13" s="381"/>
      <c r="J13" s="333" t="s">
        <v>373</v>
      </c>
      <c r="K13" s="1311"/>
      <c r="L13" s="1311"/>
      <c r="O13"/>
      <c r="P13"/>
      <c r="Q13"/>
      <c r="R13"/>
      <c r="S13"/>
      <c r="T13"/>
      <c r="U13"/>
    </row>
    <row r="14" spans="2:21" ht="21" customHeight="1" thickBot="1">
      <c r="B14" s="333" t="str">
        <f>'49a-Utility3'!B14</f>
        <v>2025 Interest on Loans</v>
      </c>
      <c r="C14" s="311"/>
      <c r="D14" s="311"/>
      <c r="E14" s="311"/>
      <c r="F14" s="311"/>
      <c r="G14" s="380"/>
      <c r="H14" s="311" t="s">
        <v>373</v>
      </c>
      <c r="I14" s="519"/>
      <c r="O14"/>
      <c r="P14"/>
      <c r="Q14"/>
      <c r="R14"/>
      <c r="S14"/>
      <c r="T14"/>
      <c r="U14"/>
    </row>
    <row r="15" spans="2:21" ht="16.5" customHeight="1" thickTop="1" thickBot="1">
      <c r="B15" s="1402"/>
      <c r="C15" s="1402"/>
      <c r="D15" s="1402"/>
      <c r="E15" s="1402"/>
      <c r="F15" s="1402"/>
      <c r="G15" s="1402"/>
      <c r="H15" s="1402"/>
      <c r="I15" s="1403"/>
      <c r="O15"/>
      <c r="P15"/>
      <c r="Q15"/>
      <c r="R15"/>
      <c r="S15"/>
      <c r="T15"/>
      <c r="U15"/>
    </row>
    <row r="16" spans="2:21" ht="16.2" thickBot="1">
      <c r="B16" s="1420" t="str">
        <f>UPPER('KEY INPUTS'!D$58)&amp;" UTILITY "&amp;IF(R16&lt;&gt;"",(UPPER(R16)),"")&amp;" LOAN"</f>
        <v xml:space="preserve"> UTILITY  LOAN</v>
      </c>
      <c r="C16" s="1420"/>
      <c r="D16" s="1420"/>
      <c r="E16" s="1420"/>
      <c r="F16" s="1420"/>
      <c r="G16" s="1420"/>
      <c r="H16" s="1420"/>
      <c r="I16" s="1421"/>
      <c r="O16"/>
      <c r="P16"/>
      <c r="Q16" s="1056" t="s">
        <v>3576</v>
      </c>
      <c r="R16" s="1057"/>
      <c r="S16"/>
      <c r="T16"/>
      <c r="U16"/>
    </row>
    <row r="17" spans="2:21" ht="21" customHeight="1" thickTop="1">
      <c r="B17" s="363" t="str">
        <f>'49a-Utility2'!B7</f>
        <v>Outstanding - January 1, 2024</v>
      </c>
      <c r="C17" s="313"/>
      <c r="D17" s="313"/>
      <c r="E17" s="313"/>
      <c r="F17" s="313"/>
      <c r="G17" s="757" t="s">
        <v>627</v>
      </c>
      <c r="H17" s="1293"/>
      <c r="I17" s="1294"/>
      <c r="O17"/>
      <c r="P17"/>
      <c r="Q17"/>
      <c r="R17"/>
      <c r="S17"/>
      <c r="T17"/>
      <c r="U17"/>
    </row>
    <row r="18" spans="2:21" ht="21" customHeight="1">
      <c r="B18" s="248" t="s">
        <v>92</v>
      </c>
      <c r="C18" s="248"/>
      <c r="D18" s="248"/>
      <c r="E18" s="248"/>
      <c r="F18" s="248"/>
      <c r="G18" s="702" t="s">
        <v>627</v>
      </c>
      <c r="H18" s="1291"/>
      <c r="I18" s="1292"/>
      <c r="O18"/>
      <c r="P18"/>
      <c r="Q18"/>
      <c r="R18"/>
      <c r="S18"/>
      <c r="T18"/>
      <c r="U18"/>
    </row>
    <row r="19" spans="2:21" ht="21" customHeight="1">
      <c r="B19" s="248" t="s">
        <v>254</v>
      </c>
      <c r="C19" s="248"/>
      <c r="D19" s="248"/>
      <c r="E19" s="248"/>
      <c r="F19" s="248"/>
      <c r="G19" s="450"/>
      <c r="H19" s="1306" t="s">
        <v>627</v>
      </c>
      <c r="I19" s="1307"/>
      <c r="O19"/>
      <c r="P19"/>
      <c r="Q19"/>
      <c r="R19"/>
      <c r="S19"/>
      <c r="T19"/>
      <c r="U19"/>
    </row>
    <row r="20" spans="2:21" ht="21" customHeight="1">
      <c r="B20" s="248"/>
      <c r="C20" s="248"/>
      <c r="D20" s="248"/>
      <c r="E20" s="248"/>
      <c r="F20" s="248"/>
      <c r="G20" s="767"/>
      <c r="H20" s="1308"/>
      <c r="I20" s="1309"/>
      <c r="O20"/>
      <c r="P20"/>
      <c r="Q20"/>
      <c r="R20"/>
      <c r="S20"/>
      <c r="T20"/>
      <c r="U20"/>
    </row>
    <row r="21" spans="2:21" ht="21" customHeight="1">
      <c r="B21" s="248"/>
      <c r="C21" s="248"/>
      <c r="D21" s="248"/>
      <c r="E21" s="248"/>
      <c r="F21" s="248"/>
      <c r="G21" s="767"/>
      <c r="H21" s="1308"/>
      <c r="I21" s="1309"/>
      <c r="O21"/>
      <c r="P21"/>
      <c r="Q21"/>
      <c r="R21"/>
      <c r="S21"/>
      <c r="T21"/>
      <c r="U21"/>
    </row>
    <row r="22" spans="2:21" ht="21" customHeight="1" thickBot="1">
      <c r="B22" s="248" t="str">
        <f>'49a-Utility2'!B11</f>
        <v>Outstanding - December 31, 2024</v>
      </c>
      <c r="C22" s="248"/>
      <c r="D22" s="248"/>
      <c r="E22" s="248"/>
      <c r="F22" s="248"/>
      <c r="G22" s="758">
        <f>+H17+H18-G19-G20-G21+H20+H21</f>
        <v>0</v>
      </c>
      <c r="H22" s="1300" t="s">
        <v>627</v>
      </c>
      <c r="I22" s="1301"/>
      <c r="O22"/>
      <c r="P22"/>
      <c r="Q22"/>
      <c r="R22"/>
      <c r="S22"/>
      <c r="T22"/>
      <c r="U22"/>
    </row>
    <row r="23" spans="2:21" ht="21" customHeight="1" thickBot="1">
      <c r="G23" s="755">
        <f>SUM(G17:G22)</f>
        <v>0</v>
      </c>
      <c r="H23" s="1304">
        <f>SUM(H17:I22)</f>
        <v>0</v>
      </c>
      <c r="I23" s="1305"/>
    </row>
    <row r="24" spans="2:21" ht="21" customHeight="1" thickTop="1">
      <c r="B24" s="333" t="str">
        <f>B13</f>
        <v>2025 Loan Maturities</v>
      </c>
      <c r="C24" s="333"/>
      <c r="D24" s="333"/>
      <c r="E24" s="333"/>
      <c r="F24" s="333"/>
      <c r="G24" s="333"/>
      <c r="H24" s="333"/>
      <c r="I24" s="381"/>
      <c r="J24" s="333" t="s">
        <v>373</v>
      </c>
      <c r="K24" s="1311"/>
      <c r="L24" s="1311"/>
    </row>
    <row r="25" spans="2:21" ht="21" customHeight="1" thickBot="1">
      <c r="B25" s="311" t="str">
        <f>B14</f>
        <v>2025 Interest on Loans</v>
      </c>
      <c r="C25" s="311"/>
      <c r="D25" s="311"/>
      <c r="E25" s="311"/>
      <c r="F25" s="311"/>
      <c r="G25" s="380"/>
      <c r="H25" s="311" t="s">
        <v>373</v>
      </c>
      <c r="I25" s="456"/>
      <c r="J25" s="375"/>
      <c r="K25" s="311"/>
      <c r="L25" s="311"/>
    </row>
    <row r="26" spans="2:21" ht="21" customHeight="1" thickTop="1"/>
    <row r="27" spans="2:21" ht="19.5" customHeight="1" thickBot="1">
      <c r="B27" s="1420" t="str">
        <f>"INTEREST  ON  LOANS  - "&amp;UPPER('KEY INPUTS'!D58)&amp;"  UTILITY  BUDGET"</f>
        <v>INTEREST  ON  LOANS  -   UTILITY  BUDGET</v>
      </c>
      <c r="C27" s="1420"/>
      <c r="D27" s="1420"/>
      <c r="E27" s="1420"/>
      <c r="F27" s="1420"/>
      <c r="G27" s="1420"/>
      <c r="H27" s="1420"/>
      <c r="I27" s="1420"/>
      <c r="J27" s="1420"/>
      <c r="K27" s="1420"/>
      <c r="L27" s="1420"/>
    </row>
    <row r="28" spans="2:21" ht="21" customHeight="1" thickTop="1">
      <c r="B28" s="313" t="str">
        <f>'49a-Utility1'!B28</f>
        <v>2025 Interest on Loans (*Items)</v>
      </c>
      <c r="C28" s="313"/>
      <c r="D28" s="313"/>
      <c r="E28" s="313"/>
      <c r="F28" s="313"/>
      <c r="G28" s="313"/>
      <c r="H28" s="313" t="s">
        <v>373</v>
      </c>
      <c r="I28" s="384">
        <f>+I25+I14</f>
        <v>0</v>
      </c>
    </row>
    <row r="29" spans="2:21" ht="21" customHeight="1">
      <c r="B29" s="248" t="str">
        <f>'49a-Utility1'!B29</f>
        <v>Less: Interest Accrued to 12/31/2024 (Trial Balance)</v>
      </c>
      <c r="C29" s="248"/>
      <c r="D29" s="248"/>
      <c r="E29" s="248"/>
      <c r="F29" s="248"/>
      <c r="G29" s="248"/>
      <c r="H29" s="248" t="s">
        <v>373</v>
      </c>
      <c r="I29" s="449"/>
    </row>
    <row r="30" spans="2:21" ht="21" customHeight="1">
      <c r="B30" s="248"/>
      <c r="C30" s="248" t="s">
        <v>317</v>
      </c>
      <c r="D30" s="248"/>
      <c r="E30" s="248"/>
      <c r="F30" s="248"/>
      <c r="G30" s="248"/>
      <c r="H30" s="248" t="s">
        <v>373</v>
      </c>
      <c r="I30" s="379">
        <f>+I28-I29</f>
        <v>0</v>
      </c>
    </row>
    <row r="31" spans="2:21" ht="21" customHeight="1">
      <c r="B31" s="248" t="str">
        <f>'49a-Utility1'!B31</f>
        <v>Add: Interest to be Accrued as of 12/31/2025</v>
      </c>
      <c r="C31" s="248"/>
      <c r="D31" s="248"/>
      <c r="E31" s="248"/>
      <c r="F31" s="248"/>
      <c r="G31" s="248"/>
      <c r="H31" s="248" t="s">
        <v>373</v>
      </c>
      <c r="I31" s="449"/>
    </row>
    <row r="32" spans="2:21" ht="21" customHeight="1">
      <c r="B32" s="248" t="str">
        <f>'49a-Utility1'!B32</f>
        <v>Required Appropriation 2025</v>
      </c>
      <c r="C32" s="248"/>
      <c r="D32" s="248"/>
      <c r="E32" s="248"/>
      <c r="F32" s="248"/>
      <c r="G32" s="248"/>
      <c r="H32" s="248"/>
      <c r="I32" s="312"/>
      <c r="J32" s="376" t="s">
        <v>373</v>
      </c>
      <c r="K32" s="1414">
        <f>+I30+I31</f>
        <v>0</v>
      </c>
      <c r="L32" s="1415"/>
    </row>
    <row r="33" spans="2:12" ht="13.5" customHeight="1">
      <c r="K33" s="378"/>
      <c r="L33" s="302"/>
    </row>
    <row r="34" spans="2:12" ht="13.5" customHeight="1">
      <c r="K34" s="378"/>
      <c r="L34" s="302"/>
    </row>
    <row r="35" spans="2:12" ht="21" customHeight="1" thickBot="1">
      <c r="B35" s="1404" t="str">
        <f>'49-Utility1'!B35</f>
        <v>LIST  OF  BONDS  ISSUED  DURING  2024</v>
      </c>
      <c r="C35" s="1404"/>
      <c r="D35" s="1404"/>
      <c r="E35" s="1404"/>
      <c r="F35" s="1404"/>
      <c r="G35" s="1404"/>
      <c r="H35" s="1404"/>
      <c r="I35" s="1404"/>
      <c r="J35" s="1404"/>
      <c r="K35" s="1404"/>
      <c r="L35" s="1404"/>
    </row>
    <row r="36" spans="2:12" ht="27" customHeight="1" thickTop="1" thickBot="1">
      <c r="B36" s="1350" t="s">
        <v>413</v>
      </c>
      <c r="C36" s="1350"/>
      <c r="D36" s="1350"/>
      <c r="E36" s="1350"/>
      <c r="F36" s="1350"/>
      <c r="G36" s="304" t="str">
        <f>'49a-Utility2'!G36</f>
        <v>2025 Maturity</v>
      </c>
      <c r="H36" s="1401" t="s">
        <v>91</v>
      </c>
      <c r="I36" s="1351"/>
      <c r="J36" s="1399" t="s">
        <v>89</v>
      </c>
      <c r="K36" s="1400"/>
      <c r="L36" s="377" t="s">
        <v>90</v>
      </c>
    </row>
    <row r="37" spans="2:12" ht="21" customHeight="1" thickTop="1">
      <c r="B37" s="518"/>
      <c r="C37" s="518"/>
      <c r="D37" s="518"/>
      <c r="E37" s="518"/>
      <c r="F37" s="518"/>
      <c r="G37" s="454"/>
      <c r="H37" s="1293"/>
      <c r="I37" s="1294"/>
      <c r="J37" s="1422"/>
      <c r="K37" s="1417"/>
      <c r="L37" s="669"/>
    </row>
    <row r="38" spans="2:12" ht="21" customHeight="1">
      <c r="B38" s="495"/>
      <c r="C38" s="495"/>
      <c r="D38" s="495"/>
      <c r="E38" s="495"/>
      <c r="F38" s="495"/>
      <c r="G38" s="450"/>
      <c r="H38" s="1291"/>
      <c r="I38" s="1292"/>
      <c r="J38" s="1397"/>
      <c r="K38" s="1398"/>
      <c r="L38" s="670"/>
    </row>
    <row r="39" spans="2:12" ht="21" customHeight="1">
      <c r="B39" s="495"/>
      <c r="C39" s="495"/>
      <c r="D39" s="495"/>
      <c r="E39" s="495"/>
      <c r="F39" s="495"/>
      <c r="G39" s="450"/>
      <c r="H39" s="1291"/>
      <c r="I39" s="1292"/>
      <c r="J39" s="1397"/>
      <c r="K39" s="1398"/>
      <c r="L39" s="670"/>
    </row>
    <row r="40" spans="2:12" ht="21" customHeight="1">
      <c r="B40" s="495"/>
      <c r="C40" s="495"/>
      <c r="D40" s="495"/>
      <c r="E40" s="495"/>
      <c r="F40" s="495"/>
      <c r="G40" s="450"/>
      <c r="H40" s="1291"/>
      <c r="I40" s="1292"/>
      <c r="J40" s="1397"/>
      <c r="K40" s="1398"/>
      <c r="L40" s="670"/>
    </row>
    <row r="41" spans="2:12" ht="21" customHeight="1" thickBot="1">
      <c r="B41" s="311"/>
      <c r="C41" s="311"/>
      <c r="D41" s="311"/>
      <c r="E41" s="311"/>
      <c r="F41" s="310"/>
      <c r="G41" s="755">
        <f>SUM(G37:G40)</f>
        <v>0</v>
      </c>
      <c r="H41" s="1289">
        <f>SUM(H37:I40)</f>
        <v>0</v>
      </c>
      <c r="I41" s="1290"/>
      <c r="J41" s="375"/>
      <c r="K41" s="311"/>
      <c r="L41" s="315"/>
    </row>
    <row r="42" spans="2:12" ht="13.8" thickTop="1">
      <c r="G42" s="347"/>
      <c r="H42" s="347"/>
      <c r="I42" s="347"/>
    </row>
    <row r="51" spans="2:12" ht="13.8">
      <c r="B51" s="1353" t="s">
        <v>3355</v>
      </c>
      <c r="C51" s="1353"/>
      <c r="D51" s="1353"/>
      <c r="E51" s="1353"/>
      <c r="F51" s="1353"/>
      <c r="G51" s="1353"/>
      <c r="H51" s="1353"/>
      <c r="I51" s="1353"/>
      <c r="J51" s="1353"/>
      <c r="K51" s="1353"/>
      <c r="L51" s="1353"/>
    </row>
  </sheetData>
  <sheetProtection algorithmName="SHA-512" hashValue="OvSBLQfT8PKsJpKTFrhgoETvStKclph7/akfKy5NI/k6eUCXp34SJg1zqNFrSlMjmG4KEsy4Z5idgc4W0HqrLQ==" saltValue="H/0xXuvy1pAy1TF4zKzvNg=="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1:L51"/>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B77ED-B6E8-429B-BD1A-D8167D07F877}">
  <sheetPr codeName="Sheet298">
    <tabColor theme="7" tint="0.39997558519241921"/>
  </sheetPr>
  <dimension ref="A2:V30"/>
  <sheetViews>
    <sheetView zoomScaleNormal="100" zoomScaleSheetLayoutView="80" workbookViewId="0">
      <selection activeCell="I17" sqref="I17"/>
    </sheetView>
  </sheetViews>
  <sheetFormatPr defaultColWidth="8.88671875" defaultRowHeight="13.2"/>
  <cols>
    <col min="1" max="1" width="5.6640625" style="267" customWidth="1"/>
    <col min="2" max="3" width="4.88671875" style="267" customWidth="1"/>
    <col min="4" max="4" width="30.44140625" style="267" customWidth="1"/>
    <col min="5" max="11" width="15.6640625" style="267" customWidth="1"/>
    <col min="12" max="12" width="1.6640625" style="267" customWidth="1"/>
    <col min="13" max="13" width="12.6640625" style="267" customWidth="1"/>
    <col min="14" max="16384" width="8.88671875" style="267"/>
  </cols>
  <sheetData>
    <row r="2" spans="1:22" ht="20.399999999999999">
      <c r="B2" s="1363" t="str">
        <f>"DEBT  SERVICE  FOR  "&amp;UPPER('KEY INPUTS'!D58)&amp;"  UTILITY  NOTES  (OTHER  THAN  UTILITY  ASSESSMENT  NOTES)"</f>
        <v>DEBT  SERVICE  FOR    UTILITY  NOTES  (OTHER  THAN  UTILITY  ASSESSMENT  NOTES)</v>
      </c>
      <c r="C2" s="1363"/>
      <c r="D2" s="1363"/>
      <c r="E2" s="1363"/>
      <c r="F2" s="1363"/>
      <c r="G2" s="1363"/>
      <c r="H2" s="1363"/>
      <c r="I2" s="1363"/>
      <c r="J2" s="1363"/>
      <c r="K2" s="1363"/>
      <c r="L2" s="1363"/>
      <c r="M2" s="1363"/>
    </row>
    <row r="3" spans="1:22" ht="21" thickBot="1">
      <c r="B3" s="1363"/>
      <c r="C3" s="1363"/>
      <c r="D3" s="1363"/>
      <c r="E3" s="1363"/>
      <c r="F3" s="1363"/>
      <c r="G3" s="1363"/>
      <c r="H3" s="1363"/>
      <c r="I3" s="1363"/>
      <c r="J3" s="1363"/>
      <c r="K3" s="1363"/>
      <c r="L3" s="1363"/>
      <c r="M3" s="1363"/>
    </row>
    <row r="4" spans="1:22" ht="13.5" customHeight="1" thickTop="1">
      <c r="B4" s="323"/>
      <c r="C4" s="323"/>
      <c r="D4" s="323"/>
      <c r="E4" s="324"/>
      <c r="F4" s="324"/>
      <c r="G4" s="324"/>
      <c r="H4" s="324"/>
      <c r="I4" s="324"/>
      <c r="J4" s="323"/>
      <c r="K4" s="846"/>
      <c r="L4" s="323"/>
      <c r="M4" s="847"/>
    </row>
    <row r="5" spans="1:22" ht="13.5" customHeight="1">
      <c r="E5" s="320" t="s">
        <v>139</v>
      </c>
      <c r="F5" s="319" t="s">
        <v>139</v>
      </c>
      <c r="G5" s="319" t="s">
        <v>414</v>
      </c>
      <c r="H5" s="319" t="s">
        <v>17</v>
      </c>
      <c r="I5" s="319" t="s">
        <v>542</v>
      </c>
      <c r="J5" s="1423" t="str">
        <f>IF('KEY INPUTS'!C42="State Fiscal Year","Fiscal Year "&amp;'KEY INPUTS'!D33+1&amp;"",'KEY INPUTS'!D34+1)&amp;""</f>
        <v>2025</v>
      </c>
      <c r="K5" s="1424"/>
      <c r="L5" s="848"/>
      <c r="M5" s="849" t="s">
        <v>543</v>
      </c>
    </row>
    <row r="6" spans="1:22" ht="13.5" customHeight="1">
      <c r="C6" s="1352" t="s">
        <v>138</v>
      </c>
      <c r="D6" s="1427"/>
      <c r="E6" s="320" t="s">
        <v>414</v>
      </c>
      <c r="F6" s="319" t="s">
        <v>140</v>
      </c>
      <c r="G6" s="319" t="s">
        <v>539</v>
      </c>
      <c r="H6" s="319" t="s">
        <v>540</v>
      </c>
      <c r="I6" s="319" t="s">
        <v>540</v>
      </c>
      <c r="J6" s="1425"/>
      <c r="K6" s="1426"/>
      <c r="L6" s="850"/>
      <c r="M6" s="849" t="s">
        <v>546</v>
      </c>
    </row>
    <row r="7" spans="1:22" ht="13.5" customHeight="1">
      <c r="E7" s="320" t="s">
        <v>92</v>
      </c>
      <c r="F7" s="320" t="s">
        <v>141</v>
      </c>
      <c r="G7" s="320" t="s">
        <v>198</v>
      </c>
      <c r="H7" s="320" t="s">
        <v>541</v>
      </c>
      <c r="I7" s="320" t="s">
        <v>543</v>
      </c>
      <c r="J7" s="320" t="s">
        <v>113</v>
      </c>
      <c r="K7" s="320" t="s">
        <v>544</v>
      </c>
      <c r="L7" s="319"/>
      <c r="M7" s="849" t="s">
        <v>547</v>
      </c>
    </row>
    <row r="8" spans="1:22" ht="13.5" customHeight="1" thickBot="1">
      <c r="B8" s="318"/>
      <c r="C8" s="318"/>
      <c r="D8" s="318"/>
      <c r="E8" s="316"/>
      <c r="F8" s="316"/>
      <c r="G8" s="605" t="str">
        <f>IF('KEY INPUTS'!C42 = "State Fiscal Year", 'KEY INPUTS'!F47,'KEY INPUTS'!D47)</f>
        <v>Dec. 31, 2024</v>
      </c>
      <c r="H8" s="316"/>
      <c r="I8" s="316"/>
      <c r="J8" s="317"/>
      <c r="K8" s="402"/>
      <c r="L8" s="851"/>
      <c r="M8" s="852"/>
      <c r="P8"/>
      <c r="Q8"/>
      <c r="R8"/>
      <c r="S8"/>
      <c r="T8"/>
      <c r="U8"/>
      <c r="V8"/>
    </row>
    <row r="9" spans="1:22" ht="21" customHeight="1" thickTop="1">
      <c r="B9" s="399" t="s">
        <v>292</v>
      </c>
      <c r="C9" s="518"/>
      <c r="D9" s="520"/>
      <c r="E9" s="454"/>
      <c r="F9" s="950"/>
      <c r="G9" s="454"/>
      <c r="H9" s="964"/>
      <c r="I9" s="606"/>
      <c r="J9" s="454"/>
      <c r="K9" s="454">
        <f>+I9*G9</f>
        <v>0</v>
      </c>
      <c r="L9" s="965"/>
      <c r="M9" s="966"/>
      <c r="P9"/>
      <c r="Q9"/>
      <c r="R9"/>
      <c r="S9"/>
      <c r="T9"/>
      <c r="U9"/>
      <c r="V9"/>
    </row>
    <row r="10" spans="1:22" ht="21" customHeight="1">
      <c r="B10" s="398" t="s">
        <v>293</v>
      </c>
      <c r="C10" s="524"/>
      <c r="D10" s="499"/>
      <c r="E10" s="450"/>
      <c r="F10" s="951"/>
      <c r="G10" s="450"/>
      <c r="H10" s="967"/>
      <c r="I10" s="471"/>
      <c r="J10" s="968"/>
      <c r="K10" s="450">
        <f>+I10*G10</f>
        <v>0</v>
      </c>
      <c r="L10" s="479"/>
      <c r="M10" s="969"/>
      <c r="N10" s="267" t="s">
        <v>3131</v>
      </c>
      <c r="O10" s="267" t="s">
        <v>3131</v>
      </c>
      <c r="P10" s="294"/>
      <c r="Q10"/>
      <c r="R10"/>
      <c r="S10"/>
      <c r="T10"/>
      <c r="U10"/>
      <c r="V10"/>
    </row>
    <row r="11" spans="1:22" ht="21" customHeight="1">
      <c r="B11" s="398" t="s">
        <v>294</v>
      </c>
      <c r="C11" s="495"/>
      <c r="D11" s="499"/>
      <c r="E11" s="450"/>
      <c r="F11" s="529"/>
      <c r="G11" s="450"/>
      <c r="H11" s="450"/>
      <c r="I11" s="471"/>
      <c r="J11" s="450"/>
      <c r="K11" s="450"/>
      <c r="L11" s="479"/>
      <c r="M11" s="528"/>
      <c r="P11"/>
      <c r="Q11"/>
      <c r="R11"/>
      <c r="S11"/>
      <c r="T11"/>
      <c r="U11"/>
      <c r="V11"/>
    </row>
    <row r="12" spans="1:22" ht="21" customHeight="1">
      <c r="B12" s="398" t="s">
        <v>295</v>
      </c>
      <c r="C12" s="495"/>
      <c r="D12" s="499"/>
      <c r="E12" s="450"/>
      <c r="F12" s="529"/>
      <c r="G12" s="450"/>
      <c r="H12" s="450"/>
      <c r="I12" s="471"/>
      <c r="J12" s="450"/>
      <c r="K12" s="450"/>
      <c r="L12" s="479"/>
      <c r="M12" s="528"/>
      <c r="P12"/>
      <c r="Q12"/>
      <c r="R12"/>
      <c r="S12"/>
      <c r="T12"/>
      <c r="U12"/>
      <c r="V12"/>
    </row>
    <row r="13" spans="1:22" ht="21" customHeight="1">
      <c r="B13" s="398" t="s">
        <v>296</v>
      </c>
      <c r="C13" s="495"/>
      <c r="D13" s="499"/>
      <c r="E13" s="450"/>
      <c r="F13" s="529"/>
      <c r="G13" s="450"/>
      <c r="H13" s="450"/>
      <c r="I13" s="471"/>
      <c r="J13" s="450"/>
      <c r="K13" s="450"/>
      <c r="L13" s="479"/>
      <c r="M13" s="528"/>
      <c r="P13"/>
      <c r="Q13"/>
      <c r="R13"/>
      <c r="S13"/>
      <c r="T13"/>
      <c r="U13"/>
      <c r="V13"/>
    </row>
    <row r="14" spans="1:22" ht="21" customHeight="1">
      <c r="B14" s="398" t="s">
        <v>297</v>
      </c>
      <c r="C14" s="495"/>
      <c r="D14" s="499"/>
      <c r="E14" s="453"/>
      <c r="F14" s="530"/>
      <c r="G14" s="453"/>
      <c r="H14" s="453"/>
      <c r="I14" s="474"/>
      <c r="J14" s="450"/>
      <c r="K14" s="450"/>
      <c r="L14" s="479"/>
      <c r="M14" s="528"/>
      <c r="P14"/>
      <c r="Q14"/>
      <c r="R14"/>
      <c r="S14"/>
      <c r="T14"/>
      <c r="U14"/>
      <c r="V14"/>
    </row>
    <row r="15" spans="1:22" ht="21" customHeight="1">
      <c r="A15" s="1367" t="s">
        <v>3167</v>
      </c>
      <c r="B15" s="398" t="s">
        <v>298</v>
      </c>
      <c r="C15" s="531"/>
      <c r="D15" s="532"/>
      <c r="E15" s="450"/>
      <c r="F15" s="529"/>
      <c r="G15" s="450"/>
      <c r="H15" s="450"/>
      <c r="I15" s="471"/>
      <c r="J15" s="450"/>
      <c r="K15" s="450"/>
      <c r="L15" s="479"/>
      <c r="M15" s="528"/>
      <c r="P15"/>
      <c r="Q15"/>
      <c r="R15"/>
      <c r="S15"/>
      <c r="T15"/>
      <c r="U15"/>
      <c r="V15"/>
    </row>
    <row r="16" spans="1:22" ht="21" customHeight="1">
      <c r="A16" s="1367"/>
      <c r="B16" s="398" t="s">
        <v>384</v>
      </c>
      <c r="C16" s="495"/>
      <c r="D16" s="499"/>
      <c r="E16" s="450"/>
      <c r="F16" s="529"/>
      <c r="G16" s="450"/>
      <c r="H16" s="450"/>
      <c r="I16" s="471"/>
      <c r="J16" s="450"/>
      <c r="K16" s="450"/>
      <c r="L16" s="479"/>
      <c r="M16" s="528"/>
      <c r="P16"/>
      <c r="Q16"/>
      <c r="R16"/>
      <c r="S16"/>
      <c r="T16"/>
      <c r="U16"/>
      <c r="V16"/>
    </row>
    <row r="17" spans="1:22" ht="21" customHeight="1">
      <c r="A17" s="1367"/>
      <c r="B17" s="398" t="s">
        <v>385</v>
      </c>
      <c r="C17" s="495"/>
      <c r="D17" s="499"/>
      <c r="E17" s="450"/>
      <c r="F17" s="529"/>
      <c r="G17" s="450"/>
      <c r="H17" s="450"/>
      <c r="I17" s="471"/>
      <c r="J17" s="450"/>
      <c r="K17" s="450"/>
      <c r="L17" s="479"/>
      <c r="M17" s="528"/>
      <c r="P17"/>
      <c r="Q17"/>
      <c r="R17"/>
      <c r="S17"/>
      <c r="T17"/>
      <c r="U17"/>
      <c r="V17"/>
    </row>
    <row r="18" spans="1:22" ht="21" customHeight="1">
      <c r="A18" s="397"/>
      <c r="B18" s="538" t="s">
        <v>786</v>
      </c>
      <c r="C18" s="248"/>
      <c r="D18" s="312"/>
      <c r="E18" s="114">
        <f>SUM(E9:E17)</f>
        <v>0</v>
      </c>
      <c r="F18" s="534"/>
      <c r="G18" s="114">
        <f>SUM(G9:G17)</f>
        <v>0</v>
      </c>
      <c r="H18" s="114"/>
      <c r="I18" s="970"/>
      <c r="J18" s="114">
        <f>SUM(J9:J17)</f>
        <v>0</v>
      </c>
      <c r="K18" s="114">
        <f>SUM(K9:K17)</f>
        <v>0</v>
      </c>
      <c r="L18" s="971"/>
      <c r="M18" s="537"/>
      <c r="P18"/>
      <c r="Q18"/>
      <c r="R18"/>
      <c r="S18"/>
      <c r="T18"/>
      <c r="U18"/>
      <c r="V18"/>
    </row>
    <row r="19" spans="1:22" ht="21" customHeight="1">
      <c r="A19" s="397"/>
      <c r="B19" s="368"/>
      <c r="E19" s="176"/>
      <c r="G19" s="176"/>
      <c r="H19" s="176"/>
      <c r="I19" s="972"/>
      <c r="J19" s="176"/>
      <c r="K19" s="176"/>
      <c r="L19" s="176"/>
      <c r="P19"/>
      <c r="Q19"/>
      <c r="R19"/>
      <c r="S19"/>
      <c r="T19"/>
      <c r="U19"/>
      <c r="V19"/>
    </row>
    <row r="20" spans="1:22" ht="21" customHeight="1">
      <c r="A20" s="397"/>
      <c r="B20" s="368"/>
      <c r="E20" s="176"/>
      <c r="G20" s="176"/>
      <c r="H20" s="176"/>
      <c r="I20" s="972"/>
      <c r="J20" s="176"/>
      <c r="K20" s="176"/>
      <c r="L20" s="176"/>
      <c r="P20"/>
      <c r="Q20"/>
      <c r="R20"/>
      <c r="S20"/>
      <c r="T20"/>
      <c r="U20"/>
      <c r="V20"/>
    </row>
    <row r="21" spans="1:22" ht="13.5" customHeight="1">
      <c r="B21" s="394"/>
      <c r="C21" s="309"/>
      <c r="D21" s="393"/>
      <c r="J21" s="385"/>
      <c r="P21"/>
      <c r="Q21"/>
      <c r="R21"/>
      <c r="S21"/>
      <c r="T21"/>
      <c r="U21"/>
      <c r="V21"/>
    </row>
    <row r="22" spans="1:22">
      <c r="B22" s="361" t="s">
        <v>40</v>
      </c>
      <c r="C22" s="385"/>
      <c r="D22" s="392"/>
      <c r="E22" s="385"/>
      <c r="I22" s="1392"/>
      <c r="J22" s="1392"/>
      <c r="K22" s="1392"/>
      <c r="L22" s="1392"/>
      <c r="M22" s="1392"/>
      <c r="P22"/>
      <c r="Q22"/>
      <c r="R22"/>
      <c r="S22"/>
      <c r="T22"/>
      <c r="U22"/>
      <c r="V22"/>
    </row>
    <row r="23" spans="1:22" ht="15.6" customHeight="1">
      <c r="B23" s="386" t="s">
        <v>41</v>
      </c>
      <c r="C23" s="386"/>
      <c r="D23" s="361" t="s">
        <v>3577</v>
      </c>
      <c r="E23" s="385"/>
      <c r="M23" s="61"/>
      <c r="P23"/>
      <c r="Q23"/>
      <c r="R23"/>
      <c r="S23"/>
      <c r="T23"/>
      <c r="U23"/>
      <c r="V23"/>
    </row>
    <row r="24" spans="1:22" ht="15.6" customHeight="1">
      <c r="B24" s="361"/>
      <c r="C24" s="361"/>
      <c r="D24" s="386" t="s">
        <v>42</v>
      </c>
      <c r="E24" s="385"/>
      <c r="M24" s="973"/>
      <c r="P24"/>
      <c r="Q24"/>
      <c r="R24"/>
      <c r="S24"/>
      <c r="T24"/>
      <c r="U24"/>
      <c r="V24"/>
    </row>
    <row r="25" spans="1:22" ht="15.6" customHeight="1">
      <c r="B25" s="361"/>
      <c r="C25" s="361"/>
      <c r="D25" s="361" t="s">
        <v>43</v>
      </c>
      <c r="E25" s="385"/>
      <c r="M25" s="61"/>
    </row>
    <row r="26" spans="1:22" ht="15.6" customHeight="1">
      <c r="B26" s="361"/>
      <c r="C26" s="361"/>
      <c r="D26" s="361" t="str">
        <f>"All notes with an original date of issue of "&amp;IF('KEY INPUTS'!C42="State Fiscal Year","FY "&amp;'KEY INPUTS'!D33-2&amp;"",'KEY INPUTS'!D34-2)&amp;" or prior require one legally payable installment to be budgeted if"</f>
        <v>All notes with an original date of issue of 2022 or prior require one legally payable installment to be budgeted if</v>
      </c>
      <c r="E26" s="385"/>
      <c r="M26" s="973"/>
    </row>
    <row r="27" spans="1:22" ht="15.6" customHeight="1">
      <c r="B27" s="361"/>
      <c r="C27" s="361"/>
      <c r="D27" s="361" t="str">
        <f>"it is contemplated that such notes will be renewed in "&amp;IF('KEY INPUTS'!C42="State Fiscal Year","FY "&amp;'KEY INPUTS'!D33+1&amp;"",'KEY INPUTS'!D34+1)&amp;" or written intent of permanent financing submitted."</f>
        <v>it is contemplated that such notes will be renewed in 2025 or written intent of permanent financing submitted.</v>
      </c>
      <c r="E27" s="385"/>
      <c r="M27" s="61"/>
    </row>
    <row r="28" spans="1:22">
      <c r="B28" s="361"/>
      <c r="C28" s="361"/>
      <c r="D28" s="361" t="s">
        <v>44</v>
      </c>
      <c r="E28" s="385"/>
    </row>
    <row r="29" spans="1:22">
      <c r="B29" s="385"/>
      <c r="C29" s="385"/>
      <c r="D29" s="386" t="s">
        <v>45</v>
      </c>
      <c r="E29" s="385"/>
    </row>
    <row r="30" spans="1:22">
      <c r="J30" s="385" t="s">
        <v>98</v>
      </c>
    </row>
  </sheetData>
  <sheetProtection algorithmName="SHA-512" hashValue="JSRhUrMD44S0JVLuYRp/AP+c5Kb8QDgt/6VYEqXNaulLcpDunrO6ovmkKjFRQIb+c9vlSlhXZ3Zu5O3dv/bDVg==" saltValue="W6UxvMGhBne7mvwRvRH8fw=="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DB20B-A431-4021-A60B-3AD6FB4B67DE}">
  <sheetPr codeName="Sheet260">
    <tabColor theme="7" tint="0.39997558519241921"/>
  </sheetPr>
  <dimension ref="A2:V30"/>
  <sheetViews>
    <sheetView zoomScaleNormal="100" zoomScaleSheetLayoutView="80" workbookViewId="0">
      <selection activeCell="V31" sqref="V31"/>
    </sheetView>
  </sheetViews>
  <sheetFormatPr defaultColWidth="8.88671875" defaultRowHeight="13.2"/>
  <cols>
    <col min="1" max="1" width="5.6640625" style="267" customWidth="1"/>
    <col min="2" max="3" width="4.88671875" style="267" customWidth="1"/>
    <col min="4" max="4" width="30.44140625" style="267" customWidth="1"/>
    <col min="5" max="11" width="15.6640625" style="267" customWidth="1"/>
    <col min="12" max="12" width="1.6640625" style="267" customWidth="1"/>
    <col min="13" max="13" width="12.6640625" style="267" customWidth="1"/>
    <col min="14" max="16384" width="8.88671875" style="267"/>
  </cols>
  <sheetData>
    <row r="2" spans="1:22" ht="20.399999999999999">
      <c r="B2" s="1363" t="str">
        <f>"DEBT  SERVICE  FOR  "&amp;UPPER('KEY INPUTS'!D58)&amp;"  UTILITY  NOTES  (OTHER  THAN  UTILITY  ASSESSMENT  NOTES)"</f>
        <v>DEBT  SERVICE  FOR    UTILITY  NOTES  (OTHER  THAN  UTILITY  ASSESSMENT  NOTES)</v>
      </c>
      <c r="C2" s="1363"/>
      <c r="D2" s="1363"/>
      <c r="E2" s="1363"/>
      <c r="F2" s="1363"/>
      <c r="G2" s="1363"/>
      <c r="H2" s="1363"/>
      <c r="I2" s="1363"/>
      <c r="J2" s="1363"/>
      <c r="K2" s="1363"/>
      <c r="L2" s="1363"/>
      <c r="M2" s="1363"/>
    </row>
    <row r="3" spans="1:22" ht="21" thickBot="1">
      <c r="B3" s="1363"/>
      <c r="C3" s="1363"/>
      <c r="D3" s="1363"/>
      <c r="E3" s="1363"/>
      <c r="F3" s="1363"/>
      <c r="G3" s="1363"/>
      <c r="H3" s="1363"/>
      <c r="I3" s="1363"/>
      <c r="J3" s="1363"/>
      <c r="K3" s="1363"/>
      <c r="L3" s="1363"/>
      <c r="M3" s="1363"/>
    </row>
    <row r="4" spans="1:22" ht="13.5" customHeight="1" thickTop="1">
      <c r="B4" s="323"/>
      <c r="C4" s="323"/>
      <c r="D4" s="323"/>
      <c r="E4" s="324"/>
      <c r="F4" s="324"/>
      <c r="G4" s="324"/>
      <c r="H4" s="324"/>
      <c r="I4" s="324"/>
      <c r="J4" s="323"/>
      <c r="K4" s="846"/>
      <c r="L4" s="323"/>
      <c r="M4" s="847"/>
    </row>
    <row r="5" spans="1:22" ht="13.5" customHeight="1">
      <c r="E5" s="320" t="s">
        <v>139</v>
      </c>
      <c r="F5" s="319" t="s">
        <v>139</v>
      </c>
      <c r="G5" s="319" t="s">
        <v>414</v>
      </c>
      <c r="H5" s="319" t="s">
        <v>17</v>
      </c>
      <c r="I5" s="319" t="s">
        <v>542</v>
      </c>
      <c r="J5" s="1423" t="str">
        <f>IF('KEY INPUTS'!C42="State Fiscal Year","Fiscal Year "&amp;'KEY INPUTS'!D33+1&amp;"",'KEY INPUTS'!D34+1)&amp;""</f>
        <v>2025</v>
      </c>
      <c r="K5" s="1424"/>
      <c r="L5" s="848"/>
      <c r="M5" s="849" t="s">
        <v>543</v>
      </c>
    </row>
    <row r="6" spans="1:22" ht="13.5" customHeight="1">
      <c r="C6" s="1352" t="s">
        <v>138</v>
      </c>
      <c r="D6" s="1427"/>
      <c r="E6" s="320" t="s">
        <v>414</v>
      </c>
      <c r="F6" s="319" t="s">
        <v>140</v>
      </c>
      <c r="G6" s="319" t="s">
        <v>539</v>
      </c>
      <c r="H6" s="319" t="s">
        <v>540</v>
      </c>
      <c r="I6" s="319" t="s">
        <v>540</v>
      </c>
      <c r="J6" s="1425"/>
      <c r="K6" s="1426"/>
      <c r="L6" s="850"/>
      <c r="M6" s="849" t="s">
        <v>546</v>
      </c>
    </row>
    <row r="7" spans="1:22" ht="13.5" customHeight="1">
      <c r="E7" s="320" t="s">
        <v>92</v>
      </c>
      <c r="F7" s="320" t="s">
        <v>141</v>
      </c>
      <c r="G7" s="320" t="s">
        <v>198</v>
      </c>
      <c r="H7" s="320" t="s">
        <v>541</v>
      </c>
      <c r="I7" s="320" t="s">
        <v>543</v>
      </c>
      <c r="J7" s="320" t="s">
        <v>113</v>
      </c>
      <c r="K7" s="320" t="s">
        <v>544</v>
      </c>
      <c r="L7" s="319"/>
      <c r="M7" s="849" t="s">
        <v>547</v>
      </c>
    </row>
    <row r="8" spans="1:22" ht="13.5" customHeight="1" thickBot="1">
      <c r="B8" s="318"/>
      <c r="C8" s="318"/>
      <c r="D8" s="318"/>
      <c r="E8" s="316"/>
      <c r="F8" s="316"/>
      <c r="G8" s="605" t="str">
        <f>IF('KEY INPUTS'!C42 = "State Fiscal Year", 'KEY INPUTS'!F47,'KEY INPUTS'!D47)</f>
        <v>Dec. 31, 2024</v>
      </c>
      <c r="H8" s="316"/>
      <c r="I8" s="316"/>
      <c r="J8" s="317"/>
      <c r="K8" s="402"/>
      <c r="L8" s="851"/>
      <c r="M8" s="852"/>
      <c r="P8"/>
      <c r="Q8"/>
      <c r="R8"/>
      <c r="S8"/>
      <c r="T8"/>
      <c r="U8"/>
      <c r="V8"/>
    </row>
    <row r="9" spans="1:22" ht="21" customHeight="1" thickTop="1">
      <c r="B9" s="399" t="s">
        <v>292</v>
      </c>
      <c r="C9" s="518"/>
      <c r="D9" s="520"/>
      <c r="E9" s="466"/>
      <c r="F9" s="950"/>
      <c r="G9" s="466"/>
      <c r="H9" s="522"/>
      <c r="I9" s="468"/>
      <c r="J9" s="466"/>
      <c r="K9" s="466"/>
      <c r="L9" s="477"/>
      <c r="M9" s="523"/>
      <c r="P9"/>
      <c r="Q9"/>
      <c r="R9"/>
      <c r="S9"/>
      <c r="T9"/>
      <c r="U9"/>
      <c r="V9"/>
    </row>
    <row r="10" spans="1:22" ht="21" customHeight="1">
      <c r="B10" s="398" t="s">
        <v>293</v>
      </c>
      <c r="C10" s="524"/>
      <c r="D10" s="499"/>
      <c r="E10" s="450"/>
      <c r="F10" s="951"/>
      <c r="G10" s="450"/>
      <c r="H10" s="450"/>
      <c r="I10" s="526"/>
      <c r="J10" s="527"/>
      <c r="K10" s="450"/>
      <c r="L10" s="479"/>
      <c r="M10" s="528"/>
      <c r="N10" s="267" t="s">
        <v>3131</v>
      </c>
      <c r="O10" s="267" t="s">
        <v>3131</v>
      </c>
      <c r="P10" s="294"/>
      <c r="Q10"/>
      <c r="R10"/>
      <c r="S10"/>
      <c r="T10"/>
      <c r="U10"/>
      <c r="V10"/>
    </row>
    <row r="11" spans="1:22" ht="21" customHeight="1">
      <c r="B11" s="398" t="s">
        <v>294</v>
      </c>
      <c r="C11" s="495"/>
      <c r="D11" s="499"/>
      <c r="E11" s="450"/>
      <c r="F11" s="529"/>
      <c r="G11" s="450"/>
      <c r="H11" s="450"/>
      <c r="I11" s="471"/>
      <c r="J11" s="450"/>
      <c r="K11" s="450"/>
      <c r="L11" s="479"/>
      <c r="M11" s="528"/>
      <c r="P11"/>
      <c r="Q11"/>
      <c r="R11"/>
      <c r="S11"/>
      <c r="T11"/>
      <c r="U11"/>
      <c r="V11"/>
    </row>
    <row r="12" spans="1:22" ht="21" customHeight="1">
      <c r="B12" s="398" t="s">
        <v>295</v>
      </c>
      <c r="C12" s="495"/>
      <c r="D12" s="499"/>
      <c r="E12" s="450"/>
      <c r="F12" s="529"/>
      <c r="G12" s="450"/>
      <c r="H12" s="450"/>
      <c r="I12" s="471"/>
      <c r="J12" s="450"/>
      <c r="K12" s="450"/>
      <c r="L12" s="479"/>
      <c r="M12" s="528"/>
      <c r="P12"/>
      <c r="Q12"/>
      <c r="R12"/>
      <c r="S12"/>
      <c r="T12"/>
      <c r="U12"/>
      <c r="V12"/>
    </row>
    <row r="13" spans="1:22" ht="21" customHeight="1">
      <c r="B13" s="398" t="s">
        <v>296</v>
      </c>
      <c r="C13" s="495"/>
      <c r="D13" s="499"/>
      <c r="E13" s="450"/>
      <c r="F13" s="529"/>
      <c r="G13" s="450"/>
      <c r="H13" s="450"/>
      <c r="I13" s="471"/>
      <c r="J13" s="450"/>
      <c r="K13" s="450"/>
      <c r="L13" s="479"/>
      <c r="M13" s="528"/>
      <c r="P13"/>
      <c r="Q13"/>
      <c r="R13"/>
      <c r="S13"/>
      <c r="T13"/>
      <c r="U13"/>
      <c r="V13"/>
    </row>
    <row r="14" spans="1:22" ht="21" customHeight="1">
      <c r="B14" s="398" t="s">
        <v>297</v>
      </c>
      <c r="C14" s="495"/>
      <c r="D14" s="499"/>
      <c r="E14" s="453"/>
      <c r="F14" s="530"/>
      <c r="G14" s="453"/>
      <c r="H14" s="453"/>
      <c r="I14" s="474"/>
      <c r="J14" s="450"/>
      <c r="K14" s="450"/>
      <c r="L14" s="479"/>
      <c r="M14" s="528"/>
      <c r="P14"/>
      <c r="Q14"/>
      <c r="R14"/>
      <c r="S14"/>
      <c r="T14"/>
      <c r="U14"/>
      <c r="V14"/>
    </row>
    <row r="15" spans="1:22" ht="21" customHeight="1">
      <c r="A15" s="1367" t="s">
        <v>3167</v>
      </c>
      <c r="B15" s="398" t="s">
        <v>298</v>
      </c>
      <c r="C15" s="531"/>
      <c r="D15" s="532"/>
      <c r="E15" s="450"/>
      <c r="F15" s="529"/>
      <c r="G15" s="450"/>
      <c r="H15" s="450"/>
      <c r="I15" s="471"/>
      <c r="J15" s="450"/>
      <c r="K15" s="450"/>
      <c r="L15" s="479"/>
      <c r="M15" s="528"/>
      <c r="P15"/>
      <c r="Q15"/>
      <c r="R15"/>
      <c r="S15"/>
      <c r="T15"/>
      <c r="U15"/>
      <c r="V15"/>
    </row>
    <row r="16" spans="1:22" ht="21" customHeight="1">
      <c r="A16" s="1367"/>
      <c r="B16" s="398" t="s">
        <v>384</v>
      </c>
      <c r="C16" s="495"/>
      <c r="D16" s="499"/>
      <c r="E16" s="450"/>
      <c r="F16" s="529"/>
      <c r="G16" s="450"/>
      <c r="H16" s="450"/>
      <c r="I16" s="471"/>
      <c r="J16" s="450"/>
      <c r="K16" s="450"/>
      <c r="L16" s="479"/>
      <c r="M16" s="528"/>
      <c r="P16"/>
      <c r="Q16"/>
      <c r="R16"/>
      <c r="S16"/>
      <c r="T16"/>
      <c r="U16"/>
      <c r="V16"/>
    </row>
    <row r="17" spans="1:22" ht="21" customHeight="1">
      <c r="A17" s="1367"/>
      <c r="B17" s="398" t="s">
        <v>385</v>
      </c>
      <c r="C17" s="495"/>
      <c r="D17" s="499"/>
      <c r="E17" s="450"/>
      <c r="F17" s="529"/>
      <c r="G17" s="450"/>
      <c r="H17" s="450"/>
      <c r="I17" s="471"/>
      <c r="J17" s="450"/>
      <c r="K17" s="450"/>
      <c r="L17" s="479"/>
      <c r="M17" s="528"/>
      <c r="P17"/>
      <c r="Q17"/>
      <c r="R17"/>
      <c r="S17"/>
      <c r="T17"/>
      <c r="U17"/>
      <c r="V17"/>
    </row>
    <row r="18" spans="1:22" ht="21" customHeight="1">
      <c r="A18" s="397"/>
      <c r="B18" s="538" t="s">
        <v>786</v>
      </c>
      <c r="C18" s="248"/>
      <c r="D18" s="312"/>
      <c r="E18" s="533">
        <f>SUM(E9:E17)+'50-Utility5'!E18</f>
        <v>0</v>
      </c>
      <c r="F18" s="534"/>
      <c r="G18" s="533">
        <f>SUM(G9:G17)+'50-Utility5'!G18</f>
        <v>0</v>
      </c>
      <c r="H18" s="533"/>
      <c r="I18" s="535"/>
      <c r="J18" s="533">
        <f>SUM(J9:J17)+'50-Utility5'!J18</f>
        <v>0</v>
      </c>
      <c r="K18" s="533">
        <f>SUM(K9:K17)+'50-Utility5'!K18</f>
        <v>0</v>
      </c>
      <c r="L18" s="536"/>
      <c r="M18" s="537"/>
      <c r="P18"/>
      <c r="Q18"/>
      <c r="R18"/>
      <c r="S18"/>
      <c r="T18"/>
      <c r="U18"/>
      <c r="V18"/>
    </row>
    <row r="19" spans="1:22" ht="21" customHeight="1">
      <c r="A19" s="397"/>
      <c r="B19" s="368"/>
      <c r="E19" s="908"/>
      <c r="G19" s="908"/>
      <c r="H19" s="908"/>
      <c r="I19" s="909"/>
      <c r="J19" s="908"/>
      <c r="K19" s="908"/>
      <c r="L19" s="908"/>
      <c r="P19"/>
      <c r="Q19"/>
      <c r="R19"/>
      <c r="S19"/>
      <c r="T19"/>
      <c r="U19"/>
      <c r="V19"/>
    </row>
    <row r="20" spans="1:22" ht="21" customHeight="1">
      <c r="A20" s="397"/>
      <c r="B20" s="368"/>
      <c r="E20" s="908"/>
      <c r="G20" s="908"/>
      <c r="H20" s="908"/>
      <c r="I20" s="909"/>
      <c r="J20" s="908"/>
      <c r="K20" s="908"/>
      <c r="L20" s="908"/>
      <c r="P20"/>
      <c r="Q20"/>
      <c r="R20"/>
      <c r="S20"/>
      <c r="T20"/>
      <c r="U20"/>
      <c r="V20"/>
    </row>
    <row r="21" spans="1:22" ht="13.5" customHeight="1" thickBot="1">
      <c r="B21" s="394"/>
      <c r="C21" s="309"/>
      <c r="D21" s="393"/>
      <c r="J21" s="385"/>
      <c r="P21"/>
      <c r="Q21"/>
      <c r="R21"/>
      <c r="S21"/>
      <c r="T21"/>
      <c r="U21"/>
      <c r="V21"/>
    </row>
    <row r="22" spans="1:22" ht="14.4" thickTop="1" thickBot="1">
      <c r="B22" s="361" t="s">
        <v>40</v>
      </c>
      <c r="C22" s="385"/>
      <c r="D22" s="392"/>
      <c r="E22" s="385"/>
      <c r="I22" s="1428" t="str">
        <f>"INTEREST  ON  NOTES  -  "&amp;UPPER('KEY INPUTS'!D58)&amp;" UTILITY  BUDGET"</f>
        <v>INTEREST  ON  NOTES  -   UTILITY  BUDGET</v>
      </c>
      <c r="J22" s="1429"/>
      <c r="K22" s="1429"/>
      <c r="L22" s="1429"/>
      <c r="M22" s="1430"/>
      <c r="P22"/>
      <c r="Q22"/>
      <c r="R22"/>
      <c r="S22"/>
      <c r="T22"/>
      <c r="U22"/>
      <c r="V22"/>
    </row>
    <row r="23" spans="1:22" ht="15.6" customHeight="1">
      <c r="B23" s="386" t="s">
        <v>41</v>
      </c>
      <c r="C23" s="386"/>
      <c r="D23" s="361" t="s">
        <v>3577</v>
      </c>
      <c r="E23" s="385"/>
      <c r="I23" s="391" t="str">
        <f>IF('KEY INPUTS'!C42="State Fiscal Year","Fiscal Year "&amp;'KEY INPUTS'!D33+1&amp;"",'KEY INPUTS'!D34+1)&amp;" Interest on Notes"</f>
        <v>2025 Interest on Notes</v>
      </c>
      <c r="J23" s="357"/>
      <c r="K23" s="357"/>
      <c r="L23" s="390" t="s">
        <v>373</v>
      </c>
      <c r="M23" s="843">
        <f>K18</f>
        <v>0</v>
      </c>
      <c r="P23"/>
      <c r="Q23"/>
      <c r="R23"/>
      <c r="S23"/>
      <c r="T23"/>
      <c r="U23"/>
      <c r="V23"/>
    </row>
    <row r="24" spans="1:22" ht="15.6" customHeight="1">
      <c r="B24" s="361"/>
      <c r="C24" s="361"/>
      <c r="D24" s="386" t="s">
        <v>42</v>
      </c>
      <c r="E24" s="385"/>
      <c r="I24" s="376" t="str">
        <f>"Less: Interest Accrued to "&amp;IF('KEY INPUTS'!C42="State Fiscal Year",(TEXT('KEY INPUTS'!F29,"mm/dd/yyy")),(TEXT('KEY INPUTS'!D29,"mm/dd/yyy")))&amp;" (Trial Balance)"</f>
        <v>Less: Interest Accrued to 12/31/2024 (Trial Balance)</v>
      </c>
      <c r="J24" s="248"/>
      <c r="K24" s="248"/>
      <c r="L24" s="389" t="s">
        <v>373</v>
      </c>
      <c r="M24" s="517"/>
      <c r="P24"/>
      <c r="Q24"/>
      <c r="R24"/>
      <c r="S24"/>
      <c r="T24"/>
      <c r="U24"/>
      <c r="V24"/>
    </row>
    <row r="25" spans="1:22" ht="15.6" customHeight="1">
      <c r="B25" s="361"/>
      <c r="C25" s="361"/>
      <c r="D25" s="361" t="s">
        <v>43</v>
      </c>
      <c r="E25" s="385"/>
      <c r="I25" s="376"/>
      <c r="J25" s="248" t="s">
        <v>317</v>
      </c>
      <c r="K25" s="248"/>
      <c r="L25" s="389" t="s">
        <v>373</v>
      </c>
      <c r="M25" s="844">
        <f>+M23-M24</f>
        <v>0</v>
      </c>
    </row>
    <row r="26" spans="1:22" ht="15.6" customHeight="1">
      <c r="B26" s="361"/>
      <c r="C26" s="361"/>
      <c r="D26" s="361" t="str">
        <f>"All notes with an original date of issue of "&amp;IF('KEY INPUTS'!C42="State Fiscal Year","FY "&amp;'KEY INPUTS'!D33-2&amp;"",'KEY INPUTS'!D34-2)&amp;" or prior require one legally payable installment to be budgeted if"</f>
        <v>All notes with an original date of issue of 2022 or prior require one legally payable installment to be budgeted if</v>
      </c>
      <c r="E26" s="385"/>
      <c r="I26" s="376" t="str">
        <f>"Add: Interest to be Accrued as of "&amp;IF('KEY INPUTS'!C42="State Fiscal Year",(TEXT('KEY INPUTS'!F30,"mm/dd/yyy")),(TEXT('KEY INPUTS'!D30,"mm/dd/yyy")))&amp;""</f>
        <v>Add: Interest to be Accrued as of 12/31/2025</v>
      </c>
      <c r="J26" s="248"/>
      <c r="K26" s="248"/>
      <c r="L26" s="389" t="s">
        <v>373</v>
      </c>
      <c r="M26" s="517"/>
    </row>
    <row r="27" spans="1:22" ht="15.6" customHeight="1" thickBot="1">
      <c r="B27" s="361"/>
      <c r="C27" s="361"/>
      <c r="D27" s="361" t="str">
        <f>"it is contemplated that such notes will be renewed in "&amp;IF('KEY INPUTS'!C42="State Fiscal Year","FY "&amp;'KEY INPUTS'!D33+1&amp;"",'KEY INPUTS'!D34+1)&amp;" or written intent of permanent financing submitted."</f>
        <v>it is contemplated that such notes will be renewed in 2025 or written intent of permanent financing submitted.</v>
      </c>
      <c r="E27" s="385"/>
      <c r="I27" s="315" t="str">
        <f>"Required Appropriation "&amp;IF('KEY INPUTS'!C42="State Fiscal Year","Fiscal Year "&amp;'KEY INPUTS'!D33+1&amp;"",'KEY INPUTS'!D34+1)&amp;""</f>
        <v>Required Appropriation 2025</v>
      </c>
      <c r="J27" s="318"/>
      <c r="K27" s="318"/>
      <c r="L27" s="388" t="s">
        <v>373</v>
      </c>
      <c r="M27" s="845">
        <f>+M25+M26</f>
        <v>0</v>
      </c>
    </row>
    <row r="28" spans="1:22" ht="13.8" thickTop="1">
      <c r="B28" s="361"/>
      <c r="C28" s="361"/>
      <c r="D28" s="361" t="s">
        <v>44</v>
      </c>
      <c r="E28" s="385"/>
    </row>
    <row r="29" spans="1:22">
      <c r="B29" s="385"/>
      <c r="C29" s="385"/>
      <c r="D29" s="386" t="s">
        <v>45</v>
      </c>
      <c r="E29" s="385"/>
    </row>
    <row r="30" spans="1:22">
      <c r="J30" s="385" t="s">
        <v>98</v>
      </c>
    </row>
  </sheetData>
  <sheetProtection algorithmName="SHA-512" hashValue="Bts7OcMMBa5SZnSUQrhqnKq/tou1Rn+NKN4gv4BK+3iIibUAWo4Q1A+F/888iEIMnqbmUlo0TvoG96Xb4VWhDQ==" saltValue="GROLq69bOorqfHZkUWjkRA=="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17A8A-C9A4-4F17-B88E-B5ADF454E350}">
  <sheetPr codeName="Sheet261">
    <tabColor theme="7" tint="0.39997558519241921"/>
  </sheetPr>
  <dimension ref="A2:T29"/>
  <sheetViews>
    <sheetView zoomScaleNormal="100" zoomScaleSheetLayoutView="80" workbookViewId="0">
      <selection activeCell="C27" sqref="C27"/>
    </sheetView>
  </sheetViews>
  <sheetFormatPr defaultColWidth="9.109375" defaultRowHeight="13.2"/>
  <cols>
    <col min="1" max="1" width="5.6640625" style="267" customWidth="1"/>
    <col min="2" max="3" width="4.88671875" style="267" customWidth="1"/>
    <col min="4" max="4" width="31.5546875" style="267" customWidth="1"/>
    <col min="5" max="12" width="15.6640625" style="267" customWidth="1"/>
    <col min="13" max="16384" width="9.109375" style="267"/>
  </cols>
  <sheetData>
    <row r="2" spans="1:20" ht="20.399999999999999">
      <c r="B2" s="1363" t="str">
        <f>"DEBT  SERVICE  SCHEDULE  FOR  "&amp;UPPER('KEY INPUTS'!D58) &amp;"  UTILITY  ASSESSMENT  NOTES"</f>
        <v>DEBT  SERVICE  SCHEDULE  FOR    UTILITY  ASSESSMENT  NOTES</v>
      </c>
      <c r="C2" s="1363"/>
      <c r="D2" s="1363"/>
      <c r="E2" s="1363"/>
      <c r="F2" s="1363"/>
      <c r="G2" s="1363"/>
      <c r="H2" s="1363"/>
      <c r="I2" s="1363"/>
      <c r="J2" s="1363"/>
      <c r="K2" s="1363"/>
      <c r="L2" s="1363"/>
    </row>
    <row r="3" spans="1:20" ht="21" thickBot="1">
      <c r="B3" s="1363"/>
      <c r="C3" s="1363"/>
      <c r="D3" s="1363"/>
      <c r="E3" s="1363"/>
      <c r="F3" s="1363"/>
      <c r="G3" s="1363"/>
      <c r="H3" s="1363"/>
      <c r="I3" s="1363"/>
      <c r="J3" s="1363"/>
      <c r="K3" s="1363"/>
      <c r="L3" s="1363"/>
    </row>
    <row r="4" spans="1:20" ht="13.5" customHeight="1" thickTop="1">
      <c r="B4" s="1473"/>
      <c r="C4" s="1473"/>
      <c r="D4" s="1474"/>
      <c r="E4" s="926"/>
      <c r="F4" s="324"/>
      <c r="G4" s="324"/>
      <c r="H4" s="324"/>
      <c r="I4" s="324"/>
      <c r="J4" s="323"/>
      <c r="K4" s="323"/>
      <c r="L4" s="322"/>
    </row>
    <row r="5" spans="1:20" ht="13.5" customHeight="1">
      <c r="E5" s="320" t="s">
        <v>139</v>
      </c>
      <c r="F5" s="319" t="s">
        <v>139</v>
      </c>
      <c r="G5" s="319" t="s">
        <v>414</v>
      </c>
      <c r="H5" s="319" t="s">
        <v>17</v>
      </c>
      <c r="I5" s="319" t="s">
        <v>542</v>
      </c>
      <c r="J5" s="1423" t="str">
        <f>IF('KEY INPUTS'!C42="State Fiscal Year","Fiscal Year "&amp;'KEY INPUTS'!D33+1&amp;"",'KEY INPUTS'!D34+1)&amp;""</f>
        <v>2025</v>
      </c>
      <c r="K5" s="1424"/>
      <c r="L5" s="321" t="s">
        <v>543</v>
      </c>
    </row>
    <row r="6" spans="1:20" ht="13.5" customHeight="1">
      <c r="C6" s="1352" t="s">
        <v>138</v>
      </c>
      <c r="D6" s="1427"/>
      <c r="E6" s="320" t="s">
        <v>414</v>
      </c>
      <c r="F6" s="319" t="s">
        <v>140</v>
      </c>
      <c r="G6" s="319" t="s">
        <v>539</v>
      </c>
      <c r="H6" s="319" t="s">
        <v>540</v>
      </c>
      <c r="I6" s="319" t="s">
        <v>540</v>
      </c>
      <c r="J6" s="1425"/>
      <c r="K6" s="1426"/>
      <c r="L6" s="321" t="s">
        <v>546</v>
      </c>
    </row>
    <row r="7" spans="1:20" ht="13.5" customHeight="1">
      <c r="E7" s="320" t="s">
        <v>92</v>
      </c>
      <c r="F7" s="320" t="s">
        <v>141</v>
      </c>
      <c r="G7" s="320" t="s">
        <v>198</v>
      </c>
      <c r="H7" s="320" t="s">
        <v>541</v>
      </c>
      <c r="I7" s="320" t="s">
        <v>543</v>
      </c>
      <c r="J7" s="320" t="s">
        <v>113</v>
      </c>
      <c r="K7" s="320" t="s">
        <v>544</v>
      </c>
      <c r="L7" s="321" t="s">
        <v>547</v>
      </c>
      <c r="N7"/>
      <c r="O7"/>
      <c r="P7"/>
      <c r="Q7"/>
      <c r="R7"/>
      <c r="S7"/>
      <c r="T7"/>
    </row>
    <row r="8" spans="1:20" ht="13.5" customHeight="1" thickBot="1">
      <c r="B8" s="318"/>
      <c r="C8" s="318"/>
      <c r="D8" s="318"/>
      <c r="E8" s="316"/>
      <c r="F8" s="316"/>
      <c r="G8" s="605" t="str">
        <f>IF('KEY INPUTS'!C42 = "State Fiscal Year", 'KEY INPUTS'!F47,'KEY INPUTS'!D47)</f>
        <v>Dec. 31, 2024</v>
      </c>
      <c r="H8" s="316"/>
      <c r="I8" s="316"/>
      <c r="J8" s="317"/>
      <c r="K8" s="402" t="s">
        <v>545</v>
      </c>
      <c r="L8" s="314"/>
      <c r="N8"/>
      <c r="O8"/>
      <c r="P8"/>
      <c r="Q8"/>
      <c r="R8"/>
      <c r="S8"/>
      <c r="T8"/>
    </row>
    <row r="9" spans="1:20" ht="21" customHeight="1" thickTop="1">
      <c r="B9" s="1435"/>
      <c r="C9" s="1435"/>
      <c r="D9" s="1436"/>
      <c r="E9" s="454"/>
      <c r="F9" s="539"/>
      <c r="G9" s="454"/>
      <c r="H9" s="454"/>
      <c r="I9" s="606"/>
      <c r="J9" s="454"/>
      <c r="K9" s="454"/>
      <c r="L9" s="540"/>
      <c r="N9" s="294"/>
      <c r="O9"/>
      <c r="P9"/>
      <c r="Q9"/>
      <c r="R9"/>
      <c r="S9"/>
      <c r="T9"/>
    </row>
    <row r="10" spans="1:20" ht="21" customHeight="1">
      <c r="B10" s="1431"/>
      <c r="C10" s="1431"/>
      <c r="D10" s="1432"/>
      <c r="E10" s="450"/>
      <c r="F10" s="529"/>
      <c r="G10" s="450"/>
      <c r="H10" s="450"/>
      <c r="I10" s="471"/>
      <c r="J10" s="450"/>
      <c r="K10" s="450"/>
      <c r="L10" s="541"/>
      <c r="N10"/>
      <c r="O10"/>
      <c r="P10"/>
      <c r="Q10"/>
      <c r="R10"/>
      <c r="S10"/>
      <c r="T10"/>
    </row>
    <row r="11" spans="1:20" ht="21" customHeight="1">
      <c r="B11" s="1431"/>
      <c r="C11" s="1431"/>
      <c r="D11" s="1432"/>
      <c r="E11" s="450"/>
      <c r="F11" s="529"/>
      <c r="G11" s="450"/>
      <c r="H11" s="450"/>
      <c r="I11" s="471"/>
      <c r="J11" s="450"/>
      <c r="K11" s="450"/>
      <c r="L11" s="541"/>
      <c r="N11"/>
      <c r="O11"/>
      <c r="P11"/>
      <c r="Q11"/>
      <c r="R11"/>
      <c r="S11"/>
      <c r="T11"/>
    </row>
    <row r="12" spans="1:20" ht="21" customHeight="1">
      <c r="B12" s="1431"/>
      <c r="C12" s="1431"/>
      <c r="D12" s="1432"/>
      <c r="E12" s="450"/>
      <c r="F12" s="529"/>
      <c r="G12" s="450"/>
      <c r="H12" s="450"/>
      <c r="I12" s="471"/>
      <c r="J12" s="450"/>
      <c r="K12" s="450"/>
      <c r="L12" s="541"/>
      <c r="N12"/>
      <c r="O12"/>
      <c r="P12"/>
      <c r="Q12"/>
      <c r="R12"/>
      <c r="S12"/>
      <c r="T12"/>
    </row>
    <row r="13" spans="1:20" ht="21" customHeight="1">
      <c r="B13" s="1431"/>
      <c r="C13" s="1431"/>
      <c r="D13" s="1432"/>
      <c r="E13" s="450"/>
      <c r="F13" s="529"/>
      <c r="G13" s="450"/>
      <c r="H13" s="450"/>
      <c r="I13" s="471"/>
      <c r="J13" s="450"/>
      <c r="K13" s="450"/>
      <c r="L13" s="541"/>
      <c r="N13"/>
      <c r="O13"/>
      <c r="P13"/>
      <c r="Q13"/>
      <c r="R13"/>
      <c r="S13"/>
      <c r="T13"/>
    </row>
    <row r="14" spans="1:20" ht="21" customHeight="1">
      <c r="B14" s="1431"/>
      <c r="C14" s="1431"/>
      <c r="D14" s="1432"/>
      <c r="E14" s="453"/>
      <c r="F14" s="530"/>
      <c r="G14" s="453"/>
      <c r="H14" s="453"/>
      <c r="I14" s="474"/>
      <c r="J14" s="450"/>
      <c r="K14" s="450"/>
      <c r="L14" s="541"/>
      <c r="N14"/>
      <c r="O14"/>
      <c r="P14"/>
      <c r="Q14"/>
      <c r="R14"/>
      <c r="S14"/>
      <c r="T14"/>
    </row>
    <row r="15" spans="1:20" ht="21" customHeight="1">
      <c r="A15" s="1367" t="s">
        <v>3168</v>
      </c>
      <c r="B15" s="1431"/>
      <c r="C15" s="1431"/>
      <c r="D15" s="1432"/>
      <c r="E15" s="450"/>
      <c r="F15" s="529"/>
      <c r="G15" s="450"/>
      <c r="H15" s="450"/>
      <c r="I15" s="471"/>
      <c r="J15" s="450"/>
      <c r="K15" s="450"/>
      <c r="L15" s="541"/>
      <c r="N15"/>
      <c r="O15"/>
      <c r="P15"/>
      <c r="Q15"/>
      <c r="R15"/>
      <c r="S15"/>
      <c r="T15"/>
    </row>
    <row r="16" spans="1:20" ht="21" customHeight="1">
      <c r="A16" s="1367"/>
      <c r="B16" s="1431"/>
      <c r="C16" s="1431"/>
      <c r="D16" s="1432"/>
      <c r="E16" s="450"/>
      <c r="F16" s="529"/>
      <c r="G16" s="450"/>
      <c r="H16" s="450"/>
      <c r="I16" s="471"/>
      <c r="J16" s="450"/>
      <c r="K16" s="450"/>
      <c r="L16" s="541"/>
      <c r="N16"/>
      <c r="O16"/>
      <c r="P16"/>
      <c r="Q16"/>
      <c r="R16"/>
      <c r="S16"/>
      <c r="T16"/>
    </row>
    <row r="17" spans="1:20" ht="21" customHeight="1">
      <c r="A17" s="1367"/>
      <c r="B17" s="1431"/>
      <c r="C17" s="1431"/>
      <c r="D17" s="1432"/>
      <c r="E17" s="450"/>
      <c r="F17" s="529"/>
      <c r="G17" s="450"/>
      <c r="H17" s="450"/>
      <c r="I17" s="471"/>
      <c r="J17" s="450"/>
      <c r="K17" s="450"/>
      <c r="L17" s="541"/>
      <c r="N17"/>
      <c r="O17"/>
      <c r="P17"/>
      <c r="Q17"/>
      <c r="R17"/>
      <c r="S17"/>
      <c r="T17"/>
    </row>
    <row r="18" spans="1:20" ht="21" customHeight="1">
      <c r="A18" s="397"/>
      <c r="B18" s="1431"/>
      <c r="C18" s="1431"/>
      <c r="D18" s="1432"/>
      <c r="E18" s="450"/>
      <c r="F18" s="529"/>
      <c r="G18" s="450"/>
      <c r="H18" s="450"/>
      <c r="I18" s="471"/>
      <c r="J18" s="450"/>
      <c r="K18" s="450"/>
      <c r="L18" s="541"/>
      <c r="N18"/>
      <c r="O18"/>
      <c r="P18"/>
      <c r="Q18"/>
      <c r="R18"/>
      <c r="S18"/>
      <c r="T18"/>
    </row>
    <row r="19" spans="1:20" ht="21" customHeight="1">
      <c r="B19" s="1431"/>
      <c r="C19" s="1431"/>
      <c r="D19" s="1432"/>
      <c r="E19" s="450"/>
      <c r="F19" s="529"/>
      <c r="G19" s="450"/>
      <c r="H19" s="450"/>
      <c r="I19" s="471"/>
      <c r="J19" s="450"/>
      <c r="K19" s="450"/>
      <c r="L19" s="541"/>
      <c r="N19"/>
      <c r="O19"/>
      <c r="P19"/>
      <c r="Q19"/>
      <c r="R19"/>
      <c r="S19"/>
      <c r="T19"/>
    </row>
    <row r="20" spans="1:20" ht="21" customHeight="1">
      <c r="B20" s="1431"/>
      <c r="C20" s="1431"/>
      <c r="D20" s="1432"/>
      <c r="E20" s="450"/>
      <c r="F20" s="529"/>
      <c r="G20" s="450"/>
      <c r="H20" s="450"/>
      <c r="I20" s="471"/>
      <c r="J20" s="450"/>
      <c r="K20" s="450"/>
      <c r="L20" s="541"/>
      <c r="N20"/>
      <c r="O20"/>
      <c r="P20"/>
      <c r="Q20"/>
      <c r="R20"/>
      <c r="S20"/>
      <c r="T20"/>
    </row>
    <row r="21" spans="1:20" ht="21" customHeight="1">
      <c r="B21" s="1431"/>
      <c r="C21" s="1431"/>
      <c r="D21" s="1432"/>
      <c r="E21" s="450"/>
      <c r="F21" s="529"/>
      <c r="G21" s="450"/>
      <c r="H21" s="450"/>
      <c r="I21" s="471"/>
      <c r="J21" s="450"/>
      <c r="K21" s="450"/>
      <c r="L21" s="541"/>
      <c r="N21"/>
      <c r="O21"/>
      <c r="P21"/>
      <c r="Q21"/>
      <c r="R21"/>
      <c r="S21"/>
      <c r="T21"/>
    </row>
    <row r="22" spans="1:20" ht="21" customHeight="1">
      <c r="B22" s="1431"/>
      <c r="C22" s="1431"/>
      <c r="D22" s="1432"/>
      <c r="E22" s="450"/>
      <c r="F22" s="529"/>
      <c r="G22" s="450"/>
      <c r="H22" s="450"/>
      <c r="I22" s="471"/>
      <c r="J22" s="450"/>
      <c r="K22" s="450"/>
      <c r="L22" s="541"/>
      <c r="N22"/>
      <c r="O22"/>
      <c r="P22"/>
      <c r="Q22"/>
      <c r="R22"/>
      <c r="S22"/>
      <c r="T22"/>
    </row>
    <row r="23" spans="1:20" ht="21" customHeight="1" thickBot="1">
      <c r="B23" s="401"/>
      <c r="C23" s="920"/>
      <c r="D23" s="921"/>
      <c r="E23" s="910">
        <f>SUM(E9:E22)</f>
        <v>0</v>
      </c>
      <c r="F23" s="922"/>
      <c r="G23" s="910">
        <f>SUM(G9:G22)</f>
        <v>0</v>
      </c>
      <c r="H23" s="910"/>
      <c r="I23" s="910"/>
      <c r="J23" s="910">
        <f>SUM(J9:J22)</f>
        <v>0</v>
      </c>
      <c r="K23" s="910">
        <f>SUM(K9:K22)</f>
        <v>0</v>
      </c>
      <c r="L23" s="923"/>
      <c r="N23"/>
      <c r="O23"/>
      <c r="P23"/>
      <c r="Q23"/>
      <c r="R23"/>
      <c r="S23"/>
      <c r="T23"/>
    </row>
    <row r="24" spans="1:20" ht="13.5" customHeight="1" thickTop="1">
      <c r="B24" s="856" t="s">
        <v>40</v>
      </c>
      <c r="C24" s="392"/>
      <c r="D24" s="857"/>
      <c r="J24" s="347"/>
      <c r="K24" s="347"/>
    </row>
    <row r="25" spans="1:20" ht="13.5" customHeight="1">
      <c r="B25" s="856" t="s">
        <v>549</v>
      </c>
      <c r="C25" s="392"/>
      <c r="D25" s="857"/>
    </row>
    <row r="26" spans="1:20" ht="13.5" customHeight="1">
      <c r="B26" s="856"/>
      <c r="C26" s="392" t="str">
        <f>"Utility Assessment Notes with an original date of issue of "&amp;IF('KEY INPUTS'!C42="State Fiscal Year","June 30, "&amp;'KEY INPUTS'!D33-2&amp;"","December 31, "&amp;'KEY INPUTS'!D34-2&amp;"")&amp;" or prior must be appropriated in full in the "&amp;IF('KEY INPUTS'!C42="State Fiscal Year","FY "&amp;'KEY INPUTS'!D33+1&amp;"",'KEY INPUTS'!D33+1)&amp;" Dedicated Utility Assessment Budget or written intent of"</f>
        <v>Utility Assessment Notes with an original date of issue of December 31, 2022 or prior must be appropriated in full in the 2026 Dedicated Utility Assessment Budget or written intent of</v>
      </c>
      <c r="D26" s="857"/>
    </row>
    <row r="27" spans="1:20" ht="13.5" customHeight="1">
      <c r="B27" s="856"/>
      <c r="C27" s="392"/>
      <c r="D27" s="858" t="s">
        <v>502</v>
      </c>
    </row>
    <row r="28" spans="1:20" ht="13.5" customHeight="1">
      <c r="B28" s="856"/>
      <c r="C28" s="392" t="s">
        <v>302</v>
      </c>
      <c r="D28" s="857"/>
      <c r="J28" s="385"/>
    </row>
    <row r="29" spans="1:20">
      <c r="B29" s="400"/>
      <c r="C29" s="309"/>
      <c r="D29" s="309"/>
    </row>
  </sheetData>
  <sheetProtection algorithmName="SHA-512" hashValue="BHxeEXdkYhEJlBKeCoIobh7ZLEaTu7jQYl97GpLSOoc3oEEfgXcpujWSPLCpSHz/J6aBD0MpytO0X91ErY9XXw==" saltValue="LBggCnoknRd/NJl6XxQ7AQ==" spinCount="100000" sheet="1" objects="1" scenarios="1"/>
  <mergeCells count="20">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s>
  <pageMargins left="0.25" right="0.25" top="0.5" bottom="0.5" header="0.25" footer="0.25"/>
  <pageSetup paperSize="5" orientation="landscape" r:id="rId1"/>
  <headerFooter alignWithMargins="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2A630-7CF8-45BB-A397-9E87F548FB2E}">
  <sheetPr codeName="Sheet262">
    <tabColor theme="7" tint="0.39997558519241921"/>
  </sheetPr>
  <dimension ref="A2:R27"/>
  <sheetViews>
    <sheetView zoomScaleNormal="100" zoomScaleSheetLayoutView="80" workbookViewId="0">
      <selection activeCell="H7" sqref="H7"/>
    </sheetView>
  </sheetViews>
  <sheetFormatPr defaultColWidth="9.109375" defaultRowHeight="13.2"/>
  <cols>
    <col min="1" max="1" width="5.6640625" style="267" customWidth="1"/>
    <col min="2" max="3" width="4.88671875" style="267" customWidth="1"/>
    <col min="4" max="4" width="35.88671875" style="267" customWidth="1"/>
    <col min="5" max="6" width="15.6640625" style="267" customWidth="1"/>
    <col min="7" max="9" width="30.6640625" style="267" customWidth="1"/>
    <col min="10" max="16384" width="9.109375" style="267"/>
  </cols>
  <sheetData>
    <row r="2" spans="1:18" ht="20.399999999999999">
      <c r="B2" s="1363" t="str">
        <f>"SCHEDULE  OF  CAPITAL  LEASE  PROGRAM  OBLIGATIONS "&amp;UPPER('KEY INPUTS'!D58)&amp;"  UTILITY"</f>
        <v>SCHEDULE  OF  CAPITAL  LEASE  PROGRAM  OBLIGATIONS   UTILITY</v>
      </c>
      <c r="C2" s="1363"/>
      <c r="D2" s="1363"/>
      <c r="E2" s="1363"/>
      <c r="F2" s="1363"/>
      <c r="G2" s="1363"/>
      <c r="H2" s="1363"/>
      <c r="I2" s="1363"/>
    </row>
    <row r="3" spans="1:18" ht="21" thickBot="1">
      <c r="B3" s="1363"/>
      <c r="C3" s="1363"/>
      <c r="D3" s="1363"/>
      <c r="E3" s="1363"/>
      <c r="F3" s="1363"/>
      <c r="G3" s="1363"/>
      <c r="H3" s="1363"/>
      <c r="I3" s="1363"/>
    </row>
    <row r="4" spans="1:18" ht="13.5" customHeight="1" thickTop="1">
      <c r="B4" s="1433"/>
      <c r="C4" s="1433"/>
      <c r="D4" s="1433"/>
      <c r="E4" s="1433"/>
      <c r="F4" s="1434"/>
      <c r="G4" s="859"/>
      <c r="H4" s="323"/>
      <c r="I4" s="847"/>
    </row>
    <row r="5" spans="1:18" ht="13.5" customHeight="1">
      <c r="E5" s="302"/>
      <c r="F5" s="302"/>
      <c r="G5" s="319" t="s">
        <v>414</v>
      </c>
      <c r="H5" s="1423" t="str">
        <f>IF('KEY INPUTS'!C42="State Fiscal Year","Fiscal Year "&amp;'KEY INPUTS'!D33+1&amp;"",'KEY INPUTS'!D34+1)&amp;" Budget Requirements"</f>
        <v>2025 Budget Requirements</v>
      </c>
      <c r="I5" s="1437"/>
      <c r="J5" s="592"/>
    </row>
    <row r="6" spans="1:18" ht="13.5" customHeight="1">
      <c r="C6" s="1352" t="s">
        <v>413</v>
      </c>
      <c r="D6" s="1352"/>
      <c r="E6" s="302"/>
      <c r="F6" s="302"/>
      <c r="G6" s="319" t="s">
        <v>430</v>
      </c>
      <c r="H6" s="1438"/>
      <c r="I6" s="1439"/>
      <c r="J6" s="592"/>
    </row>
    <row r="7" spans="1:18" ht="13.5" customHeight="1">
      <c r="E7" s="302"/>
      <c r="F7" s="860"/>
      <c r="G7" s="861" t="str">
        <f>IF('KEY INPUTS'!C42 = "State Fiscal Year", 'KEY INPUTS'!F47,'KEY INPUTS'!D47)</f>
        <v>Dec. 31, 2024</v>
      </c>
      <c r="H7" s="320" t="s">
        <v>3170</v>
      </c>
      <c r="I7" s="321" t="s">
        <v>431</v>
      </c>
      <c r="L7"/>
      <c r="M7"/>
      <c r="N7"/>
      <c r="O7"/>
      <c r="P7"/>
      <c r="Q7"/>
      <c r="R7"/>
    </row>
    <row r="8" spans="1:18" ht="13.5" customHeight="1" thickBot="1">
      <c r="B8" s="318"/>
      <c r="C8" s="318"/>
      <c r="D8" s="318"/>
      <c r="E8" s="318"/>
      <c r="F8" s="404"/>
      <c r="G8" s="862"/>
      <c r="H8" s="317"/>
      <c r="I8" s="863"/>
      <c r="L8"/>
      <c r="M8"/>
      <c r="N8"/>
      <c r="O8"/>
      <c r="P8"/>
      <c r="Q8"/>
      <c r="R8"/>
    </row>
    <row r="9" spans="1:18" ht="21" customHeight="1" thickTop="1">
      <c r="B9" s="1435"/>
      <c r="C9" s="1435"/>
      <c r="D9" s="1435"/>
      <c r="E9" s="1435"/>
      <c r="F9" s="1436"/>
      <c r="G9" s="607"/>
      <c r="H9" s="454"/>
      <c r="I9" s="608"/>
      <c r="L9" s="294"/>
      <c r="M9"/>
      <c r="N9"/>
      <c r="O9"/>
      <c r="P9"/>
      <c r="Q9"/>
      <c r="R9"/>
    </row>
    <row r="10" spans="1:18" ht="21" customHeight="1">
      <c r="B10" s="1431"/>
      <c r="C10" s="1431"/>
      <c r="D10" s="1431"/>
      <c r="E10" s="1431"/>
      <c r="F10" s="1432"/>
      <c r="G10" s="479"/>
      <c r="H10" s="450"/>
      <c r="I10" s="451"/>
      <c r="L10"/>
      <c r="M10"/>
      <c r="N10"/>
      <c r="O10"/>
      <c r="P10"/>
      <c r="Q10"/>
      <c r="R10"/>
    </row>
    <row r="11" spans="1:18" ht="21" customHeight="1">
      <c r="B11" s="1431"/>
      <c r="C11" s="1431"/>
      <c r="D11" s="1431"/>
      <c r="E11" s="1431"/>
      <c r="F11" s="1432"/>
      <c r="G11" s="479"/>
      <c r="H11" s="450"/>
      <c r="I11" s="451"/>
      <c r="L11"/>
      <c r="M11"/>
      <c r="N11"/>
      <c r="O11"/>
      <c r="P11"/>
      <c r="Q11"/>
      <c r="R11"/>
    </row>
    <row r="12" spans="1:18" ht="21" customHeight="1">
      <c r="B12" s="1431"/>
      <c r="C12" s="1431"/>
      <c r="D12" s="1431"/>
      <c r="E12" s="1431"/>
      <c r="F12" s="1432"/>
      <c r="G12" s="479"/>
      <c r="H12" s="450"/>
      <c r="I12" s="451"/>
      <c r="L12"/>
      <c r="M12"/>
      <c r="N12"/>
      <c r="O12"/>
      <c r="P12"/>
      <c r="Q12"/>
      <c r="R12"/>
    </row>
    <row r="13" spans="1:18" ht="21" customHeight="1">
      <c r="B13" s="1431"/>
      <c r="C13" s="1431"/>
      <c r="D13" s="1431"/>
      <c r="E13" s="1431"/>
      <c r="F13" s="1432"/>
      <c r="G13" s="479"/>
      <c r="H13" s="450"/>
      <c r="I13" s="451"/>
      <c r="L13"/>
      <c r="M13"/>
      <c r="N13"/>
      <c r="O13"/>
      <c r="P13"/>
      <c r="Q13"/>
      <c r="R13"/>
    </row>
    <row r="14" spans="1:18" ht="21" customHeight="1">
      <c r="B14" s="1431"/>
      <c r="C14" s="1431"/>
      <c r="D14" s="1431"/>
      <c r="E14" s="1431"/>
      <c r="F14" s="1432"/>
      <c r="G14" s="480"/>
      <c r="H14" s="450"/>
      <c r="I14" s="451"/>
      <c r="L14"/>
      <c r="M14"/>
      <c r="N14"/>
      <c r="O14"/>
      <c r="P14"/>
      <c r="Q14"/>
      <c r="R14"/>
    </row>
    <row r="15" spans="1:18" ht="21" customHeight="1">
      <c r="A15" s="1367" t="s">
        <v>3169</v>
      </c>
      <c r="B15" s="1431"/>
      <c r="C15" s="1431"/>
      <c r="D15" s="1431"/>
      <c r="E15" s="1431"/>
      <c r="F15" s="1432"/>
      <c r="G15" s="479"/>
      <c r="H15" s="450"/>
      <c r="I15" s="451"/>
      <c r="L15"/>
      <c r="M15"/>
      <c r="N15"/>
      <c r="O15"/>
      <c r="P15"/>
      <c r="Q15"/>
      <c r="R15"/>
    </row>
    <row r="16" spans="1:18" ht="21" customHeight="1">
      <c r="A16" s="1367"/>
      <c r="B16" s="1431"/>
      <c r="C16" s="1431"/>
      <c r="D16" s="1431"/>
      <c r="E16" s="1431"/>
      <c r="F16" s="1432"/>
      <c r="G16" s="479"/>
      <c r="H16" s="450"/>
      <c r="I16" s="451"/>
      <c r="L16"/>
      <c r="M16"/>
      <c r="N16"/>
      <c r="O16"/>
      <c r="P16"/>
      <c r="Q16"/>
      <c r="R16"/>
    </row>
    <row r="17" spans="1:18" ht="21" customHeight="1">
      <c r="A17" s="1367"/>
      <c r="B17" s="1431"/>
      <c r="C17" s="1431"/>
      <c r="D17" s="1431"/>
      <c r="E17" s="1431"/>
      <c r="F17" s="1432"/>
      <c r="G17" s="479"/>
      <c r="H17" s="450"/>
      <c r="I17" s="451"/>
      <c r="L17"/>
      <c r="M17"/>
      <c r="N17"/>
      <c r="O17"/>
      <c r="P17"/>
      <c r="Q17"/>
      <c r="R17"/>
    </row>
    <row r="18" spans="1:18" ht="21" customHeight="1">
      <c r="A18" s="397"/>
      <c r="B18" s="1431"/>
      <c r="C18" s="1431"/>
      <c r="D18" s="1431"/>
      <c r="E18" s="1431"/>
      <c r="F18" s="1432"/>
      <c r="G18" s="479"/>
      <c r="H18" s="450"/>
      <c r="I18" s="451"/>
      <c r="L18"/>
      <c r="M18"/>
      <c r="N18"/>
      <c r="O18"/>
      <c r="P18"/>
      <c r="Q18"/>
      <c r="R18"/>
    </row>
    <row r="19" spans="1:18" ht="21" customHeight="1">
      <c r="B19" s="1431"/>
      <c r="C19" s="1431"/>
      <c r="D19" s="1431"/>
      <c r="E19" s="1431"/>
      <c r="F19" s="1432"/>
      <c r="G19" s="479"/>
      <c r="H19" s="450"/>
      <c r="I19" s="451"/>
      <c r="L19"/>
      <c r="M19"/>
      <c r="N19"/>
      <c r="O19"/>
      <c r="P19"/>
      <c r="Q19"/>
      <c r="R19"/>
    </row>
    <row r="20" spans="1:18" ht="21" customHeight="1">
      <c r="B20" s="1431"/>
      <c r="C20" s="1431"/>
      <c r="D20" s="1431"/>
      <c r="E20" s="1431"/>
      <c r="F20" s="1432"/>
      <c r="G20" s="479"/>
      <c r="H20" s="450"/>
      <c r="I20" s="451"/>
      <c r="L20"/>
      <c r="M20"/>
      <c r="N20"/>
      <c r="O20"/>
      <c r="P20"/>
      <c r="Q20"/>
      <c r="R20"/>
    </row>
    <row r="21" spans="1:18" ht="21" customHeight="1">
      <c r="B21" s="1431"/>
      <c r="C21" s="1431"/>
      <c r="D21" s="1431"/>
      <c r="E21" s="1431"/>
      <c r="F21" s="1432"/>
      <c r="G21" s="479"/>
      <c r="H21" s="450"/>
      <c r="I21" s="451"/>
      <c r="L21"/>
      <c r="M21"/>
      <c r="N21"/>
      <c r="O21"/>
      <c r="P21"/>
      <c r="Q21"/>
      <c r="R21"/>
    </row>
    <row r="22" spans="1:18" ht="21" customHeight="1" thickBot="1">
      <c r="B22" s="1431"/>
      <c r="C22" s="1431"/>
      <c r="D22" s="1431"/>
      <c r="E22" s="1431"/>
      <c r="F22" s="1432"/>
      <c r="G22" s="481"/>
      <c r="H22" s="475"/>
      <c r="I22" s="482"/>
      <c r="L22"/>
      <c r="M22"/>
      <c r="N22"/>
      <c r="O22"/>
      <c r="P22"/>
      <c r="Q22"/>
      <c r="R22"/>
    </row>
    <row r="23" spans="1:18" ht="21" customHeight="1" thickTop="1" thickBot="1">
      <c r="B23" s="401"/>
      <c r="C23" s="311"/>
      <c r="D23" s="405" t="s">
        <v>137</v>
      </c>
      <c r="E23" s="746"/>
      <c r="F23" s="404"/>
      <c r="G23" s="911">
        <f>SUM(G9:G22)</f>
        <v>0</v>
      </c>
      <c r="H23" s="755">
        <f>SUM(H9:H22)</f>
        <v>0</v>
      </c>
      <c r="I23" s="797">
        <f>SUM(I9:I22)</f>
        <v>0</v>
      </c>
      <c r="L23"/>
      <c r="M23"/>
      <c r="N23"/>
      <c r="O23"/>
      <c r="P23"/>
      <c r="Q23"/>
      <c r="R23"/>
    </row>
    <row r="24" spans="1:18" ht="13.5" customHeight="1" thickTop="1">
      <c r="B24" s="403"/>
      <c r="C24" s="309"/>
      <c r="D24" s="393"/>
      <c r="H24" s="347"/>
      <c r="I24" s="347"/>
    </row>
    <row r="25" spans="1:18" ht="13.5" customHeight="1">
      <c r="B25" s="403"/>
      <c r="C25" s="309"/>
      <c r="D25" s="393"/>
    </row>
    <row r="26" spans="1:18" ht="13.5" customHeight="1">
      <c r="B26" s="403"/>
      <c r="C26" s="309"/>
      <c r="D26" s="393"/>
      <c r="H26" s="385"/>
    </row>
    <row r="27" spans="1:18">
      <c r="B27" s="400"/>
      <c r="C27" s="309"/>
      <c r="D27" s="309"/>
    </row>
  </sheetData>
  <sheetProtection algorithmName="SHA-512" hashValue="nV16JWyOKIH+wenv6QJg673/g/rt7QF+rmkvRQe6EmQWWGhq0nVdJ5WGWfvvTLpq69Bu1VVYyggrh5OXvDoapQ==" saltValue="xX9BC+G+XQ0eGt+Vujf+7A==" spinCount="100000" sheet="1" objects="1" scenarios="1"/>
  <mergeCells count="20">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s>
  <pageMargins left="0.25" right="0.25" top="0.5" bottom="0.5" header="0.25" footer="0.25"/>
  <pageSetup paperSize="5" orientation="landscape" r:id="rId1"/>
  <headerFooter alignWithMargins="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94789-DF37-45BA-86F6-43D7E078C3E6}">
  <sheetPr codeName="Sheet263">
    <tabColor theme="7" tint="0.39997558519241921"/>
  </sheetPr>
  <dimension ref="A1:U42"/>
  <sheetViews>
    <sheetView zoomScaleNormal="100" zoomScaleSheetLayoutView="80" workbookViewId="0">
      <selection activeCell="J15" sqref="J15"/>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"&amp;UPPER('KEY INPUTS'!D58)&amp;"  (UTILITY  CAPITAL  FUND)"</f>
        <v>SCHEDULE  OF  IMPROVEMENT  AUTHORIZATIONS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543"/>
      <c r="C9" s="518"/>
      <c r="D9" s="520"/>
      <c r="E9" s="466"/>
      <c r="F9" s="466"/>
      <c r="G9" s="466"/>
      <c r="H9" s="466"/>
      <c r="I9" s="466"/>
      <c r="J9" s="466"/>
      <c r="K9" s="466"/>
      <c r="L9" s="478"/>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3171</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3360</v>
      </c>
      <c r="E27" s="755">
        <f t="shared" ref="E27:L27" si="0">SUM(E9:E26)</f>
        <v>0</v>
      </c>
      <c r="F27" s="755">
        <f t="shared" si="0"/>
        <v>0</v>
      </c>
      <c r="G27" s="755">
        <f t="shared" si="0"/>
        <v>0</v>
      </c>
      <c r="H27" s="755">
        <f t="shared" si="0"/>
        <v>0</v>
      </c>
      <c r="I27" s="755">
        <f t="shared" si="0"/>
        <v>0</v>
      </c>
      <c r="J27" s="755">
        <f t="shared" si="0"/>
        <v>0</v>
      </c>
      <c r="K27" s="755">
        <f t="shared" si="0"/>
        <v>0</v>
      </c>
      <c r="L27" s="797">
        <f t="shared" si="0"/>
        <v>0</v>
      </c>
    </row>
    <row r="28" spans="1:21" ht="13.5" customHeight="1" thickTop="1">
      <c r="B28" s="403"/>
      <c r="C28" s="309" t="s">
        <v>521</v>
      </c>
      <c r="D28" s="393"/>
      <c r="K28" s="347"/>
      <c r="L28" s="347"/>
    </row>
    <row r="42" spans="11:12">
      <c r="K42" s="267" t="s">
        <v>3211</v>
      </c>
      <c r="L42" s="301">
        <f>K27+L27</f>
        <v>0</v>
      </c>
    </row>
  </sheetData>
  <sheetProtection algorithmName="SHA-512" hashValue="eBYsm8sVs9UUiVD51/M6jsW56Af18Dd/I03Sa67/YVfZvNTibtAq20yQyc1E5GS85YGUFlown8mwfL2TBVzRiA==" saltValue="VRj9O2IoWhzlZMSP/D0GM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7AB48-DA5B-4415-952D-7C8111E6B978}">
  <sheetPr codeName="Sheet264">
    <tabColor theme="7" tint="0.39997558519241921"/>
  </sheetPr>
  <dimension ref="A1:U42"/>
  <sheetViews>
    <sheetView zoomScaleNormal="100" zoomScaleSheetLayoutView="80" workbookViewId="0">
      <selection activeCell="K19" sqref="K19"/>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"&amp;UPPER('KEY INPUTS'!D58)&amp;"  (UTILITY  CAPITAL  FUND)"</f>
        <v>SCHEDULE  OF  IMPROVEMENT  AUTHORIZATIONS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31" t="s">
        <v>3263</v>
      </c>
      <c r="C9" s="313"/>
      <c r="D9" s="795"/>
      <c r="E9" s="927">
        <f>+'52-Utility5'!E27</f>
        <v>0</v>
      </c>
      <c r="F9" s="927">
        <f>+'52-Utility5'!F27</f>
        <v>0</v>
      </c>
      <c r="G9" s="927">
        <f>+'52-Utility5'!G27</f>
        <v>0</v>
      </c>
      <c r="H9" s="927">
        <f>+'52-Utility5'!H27</f>
        <v>0</v>
      </c>
      <c r="I9" s="927">
        <f>+'52-Utility5'!I27</f>
        <v>0</v>
      </c>
      <c r="J9" s="927">
        <f>+'52-Utility5'!J27</f>
        <v>0</v>
      </c>
      <c r="K9" s="927">
        <f>+'52-Utility5'!K27</f>
        <v>0</v>
      </c>
      <c r="L9" s="928">
        <f>+'52-Utility5'!L27</f>
        <v>0</v>
      </c>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3356</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3360</v>
      </c>
      <c r="E27" s="755">
        <f t="shared" ref="E27:L27" si="0">SUM(E9:E26)</f>
        <v>0</v>
      </c>
      <c r="F27" s="755">
        <f t="shared" si="0"/>
        <v>0</v>
      </c>
      <c r="G27" s="755">
        <f t="shared" si="0"/>
        <v>0</v>
      </c>
      <c r="H27" s="755">
        <f t="shared" si="0"/>
        <v>0</v>
      </c>
      <c r="I27" s="755">
        <f t="shared" si="0"/>
        <v>0</v>
      </c>
      <c r="J27" s="755">
        <f t="shared" si="0"/>
        <v>0</v>
      </c>
      <c r="K27" s="755">
        <f t="shared" si="0"/>
        <v>0</v>
      </c>
      <c r="L27" s="797">
        <f t="shared" si="0"/>
        <v>0</v>
      </c>
    </row>
    <row r="28" spans="1:21" ht="13.5" customHeight="1" thickTop="1">
      <c r="B28" s="403"/>
      <c r="C28" s="309" t="s">
        <v>521</v>
      </c>
      <c r="D28" s="393"/>
      <c r="K28" s="347"/>
      <c r="L28" s="347"/>
    </row>
    <row r="42" spans="11:12">
      <c r="K42" s="267" t="s">
        <v>3211</v>
      </c>
      <c r="L42" s="301">
        <f>K27+L27</f>
        <v>0</v>
      </c>
    </row>
  </sheetData>
  <sheetProtection algorithmName="SHA-512" hashValue="rs0MXYMl4Cw1TbUtjzxh4ZNmzx1WHLaQqe8NFk5Vqun5idhfKjL1jY5mcuS0p3e9g1i2d5qvTd672iqHJ1YPIw==" saltValue="O3MX1jnkZLLHfN8QXYpeh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8BA9A-A53E-4733-BEA8-5287AC81D572}">
  <sheetPr codeName="Sheet265">
    <tabColor theme="7" tint="0.39997558519241921"/>
  </sheetPr>
  <dimension ref="A1:U42"/>
  <sheetViews>
    <sheetView zoomScaleNormal="100" zoomScaleSheetLayoutView="80" workbookViewId="0">
      <selection activeCell="G7" sqref="G7"/>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"&amp;UPPER('KEY INPUTS'!D58)&amp;"  (UTILITY  CAPITAL  FUND)"</f>
        <v>SCHEDULE  OF  IMPROVEMENT  AUTHORIZATIONS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31" t="s">
        <v>3263</v>
      </c>
      <c r="C9" s="313"/>
      <c r="D9" s="795"/>
      <c r="E9" s="927">
        <f>+'52.1-Utility5'!E27</f>
        <v>0</v>
      </c>
      <c r="F9" s="927">
        <f>+'52.1-Utility5'!F27</f>
        <v>0</v>
      </c>
      <c r="G9" s="927">
        <f>+'52.1-Utility5'!G27</f>
        <v>0</v>
      </c>
      <c r="H9" s="927">
        <f>+'52.1-Utility5'!H27</f>
        <v>0</v>
      </c>
      <c r="I9" s="927">
        <f>+'52.1-Utility5'!I27</f>
        <v>0</v>
      </c>
      <c r="J9" s="927">
        <f>+'52.1-Utility5'!J27</f>
        <v>0</v>
      </c>
      <c r="K9" s="927">
        <f>+'52.1-Utility5'!K27</f>
        <v>0</v>
      </c>
      <c r="L9" s="928">
        <f>+'52.1-Utility5'!L27</f>
        <v>0</v>
      </c>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3357</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3360</v>
      </c>
      <c r="E27" s="755">
        <f t="shared" ref="E27:L27" si="0">SUM(E9:E26)</f>
        <v>0</v>
      </c>
      <c r="F27" s="755">
        <f t="shared" si="0"/>
        <v>0</v>
      </c>
      <c r="G27" s="755">
        <f t="shared" si="0"/>
        <v>0</v>
      </c>
      <c r="H27" s="755">
        <f t="shared" si="0"/>
        <v>0</v>
      </c>
      <c r="I27" s="755">
        <f t="shared" si="0"/>
        <v>0</v>
      </c>
      <c r="J27" s="755">
        <f t="shared" si="0"/>
        <v>0</v>
      </c>
      <c r="K27" s="755">
        <f t="shared" si="0"/>
        <v>0</v>
      </c>
      <c r="L27" s="797">
        <f t="shared" si="0"/>
        <v>0</v>
      </c>
    </row>
    <row r="28" spans="1:21" ht="13.5" customHeight="1" thickTop="1">
      <c r="B28" s="403"/>
      <c r="C28" s="309" t="s">
        <v>521</v>
      </c>
      <c r="D28" s="393"/>
      <c r="K28" s="347"/>
      <c r="L28" s="347"/>
    </row>
    <row r="42" spans="11:12">
      <c r="K42" s="267" t="s">
        <v>3211</v>
      </c>
      <c r="L42" s="301">
        <f>K27+L27</f>
        <v>0</v>
      </c>
    </row>
  </sheetData>
  <sheetProtection algorithmName="SHA-512" hashValue="7Je3sAyEPeuhEpN4TDW8VT+WlFhrOL1q8VsoTFvp10YmkA45OI9L84KiaFmsw1dBWEv2Hkug364n27gwuMFH1w==" saltValue="vw/r5zXCHrV/1gtH+pPEL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08085-4650-4570-A7B2-819AFCB727C7}">
  <sheetPr codeName="Sheet266">
    <tabColor theme="7" tint="0.39997558519241921"/>
  </sheetPr>
  <dimension ref="A1:U42"/>
  <sheetViews>
    <sheetView zoomScaleNormal="100" zoomScaleSheetLayoutView="80" workbookViewId="0">
      <selection activeCell="G7" sqref="G7"/>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"&amp;UPPER('KEY INPUTS'!D58)&amp;"  (UTILITY  CAPITAL  FUND)"</f>
        <v>SCHEDULE  OF  IMPROVEMENT  AUTHORIZATIONS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31" t="s">
        <v>3263</v>
      </c>
      <c r="C9" s="313"/>
      <c r="D9" s="795"/>
      <c r="E9" s="927">
        <f>+'52.2-Utility5'!E27</f>
        <v>0</v>
      </c>
      <c r="F9" s="927">
        <f>+'52.2-Utility5'!F27</f>
        <v>0</v>
      </c>
      <c r="G9" s="927">
        <f>+'52.2-Utility5'!G27</f>
        <v>0</v>
      </c>
      <c r="H9" s="927">
        <f>+'52.2-Utility5'!H27</f>
        <v>0</v>
      </c>
      <c r="I9" s="927">
        <f>+'52.2-Utility5'!I27</f>
        <v>0</v>
      </c>
      <c r="J9" s="927">
        <f>+'52.2-Utility5'!J27</f>
        <v>0</v>
      </c>
      <c r="K9" s="927">
        <f>+'52.2-Utility5'!K27</f>
        <v>0</v>
      </c>
      <c r="L9" s="928">
        <f>+'52.2-Utility5'!L27</f>
        <v>0</v>
      </c>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3358</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3360</v>
      </c>
      <c r="E27" s="755">
        <f t="shared" ref="E27:L27" si="0">SUM(E9:E26)</f>
        <v>0</v>
      </c>
      <c r="F27" s="755">
        <f t="shared" si="0"/>
        <v>0</v>
      </c>
      <c r="G27" s="755">
        <f t="shared" si="0"/>
        <v>0</v>
      </c>
      <c r="H27" s="755">
        <f t="shared" si="0"/>
        <v>0</v>
      </c>
      <c r="I27" s="755">
        <f t="shared" si="0"/>
        <v>0</v>
      </c>
      <c r="J27" s="755">
        <f t="shared" si="0"/>
        <v>0</v>
      </c>
      <c r="K27" s="755">
        <f t="shared" si="0"/>
        <v>0</v>
      </c>
      <c r="L27" s="797">
        <f t="shared" si="0"/>
        <v>0</v>
      </c>
    </row>
    <row r="28" spans="1:21" ht="13.5" customHeight="1" thickTop="1">
      <c r="B28" s="403"/>
      <c r="C28" s="309" t="s">
        <v>521</v>
      </c>
      <c r="D28" s="393"/>
      <c r="K28" s="347"/>
      <c r="L28" s="347"/>
    </row>
    <row r="42" spans="11:12">
      <c r="K42" s="267" t="s">
        <v>3211</v>
      </c>
      <c r="L42" s="301">
        <f>K27+L27</f>
        <v>0</v>
      </c>
    </row>
  </sheetData>
  <sheetProtection algorithmName="SHA-512" hashValue="4EAKTAFTz6YCCCmpz/0xaiLbs1L2wbTEvcPkfb6zSmP9bUO913tjG9N8mKA54Bv5IqUhdXaR6sJncWxwfx7qxw==" saltValue="2B+TsLjRy6bB2c2HCSMHY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8A4CB-FE19-4C2C-B9B7-D02607B3DADE}">
  <sheetPr codeName="Sheet267">
    <tabColor theme="7" tint="0.39997558519241921"/>
  </sheetPr>
  <dimension ref="A1:U42"/>
  <sheetViews>
    <sheetView zoomScaleNormal="100" zoomScaleSheetLayoutView="80" workbookViewId="0">
      <selection activeCell="G7" sqref="G7"/>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"&amp;UPPER('KEY INPUTS'!D58)&amp;"  (UTILITY  CAPITAL  FUND)"</f>
        <v>SCHEDULE  OF  IMPROVEMENT  AUTHORIZATIONS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31" t="s">
        <v>3263</v>
      </c>
      <c r="C9" s="313"/>
      <c r="D9" s="795"/>
      <c r="E9" s="927">
        <f>+'52.3-Utility5'!E27</f>
        <v>0</v>
      </c>
      <c r="F9" s="927">
        <f>+'52.3-Utility5'!F27</f>
        <v>0</v>
      </c>
      <c r="G9" s="927">
        <f>+'52.3-Utility5'!G27</f>
        <v>0</v>
      </c>
      <c r="H9" s="927">
        <f>+'52.3-Utility5'!H27</f>
        <v>0</v>
      </c>
      <c r="I9" s="927">
        <f>+'52.3-Utility5'!I27</f>
        <v>0</v>
      </c>
      <c r="J9" s="927">
        <f>+'52.3-Utility5'!J27</f>
        <v>0</v>
      </c>
      <c r="K9" s="927">
        <f>+'52.3-Utility5'!K27</f>
        <v>0</v>
      </c>
      <c r="L9" s="928">
        <f>+'52.3-Utility5'!L27</f>
        <v>0</v>
      </c>
      <c r="O9"/>
      <c r="P9"/>
      <c r="Q9"/>
      <c r="R9"/>
      <c r="S9"/>
      <c r="T9"/>
      <c r="U9"/>
    </row>
    <row r="10" spans="2:21" ht="21" customHeight="1">
      <c r="B10" s="544"/>
      <c r="C10" s="495"/>
      <c r="D10" s="499"/>
      <c r="E10" s="450"/>
      <c r="F10" s="450"/>
      <c r="G10" s="450"/>
      <c r="H10" s="450"/>
      <c r="I10" s="426"/>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26"/>
      <c r="J13" s="450"/>
      <c r="K13" s="451"/>
      <c r="L13" s="542"/>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3361</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3362</v>
      </c>
      <c r="E27" s="755">
        <f t="shared" ref="E27:L27" si="0">SUM(E9:E26)</f>
        <v>0</v>
      </c>
      <c r="F27" s="755">
        <f t="shared" si="0"/>
        <v>0</v>
      </c>
      <c r="G27" s="755">
        <f t="shared" si="0"/>
        <v>0</v>
      </c>
      <c r="H27" s="755">
        <f t="shared" si="0"/>
        <v>0</v>
      </c>
      <c r="I27" s="755">
        <f t="shared" si="0"/>
        <v>0</v>
      </c>
      <c r="J27" s="755">
        <f t="shared" si="0"/>
        <v>0</v>
      </c>
      <c r="K27" s="755">
        <f t="shared" si="0"/>
        <v>0</v>
      </c>
      <c r="L27" s="797">
        <f t="shared" si="0"/>
        <v>0</v>
      </c>
    </row>
    <row r="28" spans="1:21" ht="13.5" customHeight="1" thickTop="1">
      <c r="B28" s="403"/>
      <c r="C28" s="309" t="s">
        <v>521</v>
      </c>
      <c r="D28" s="393"/>
      <c r="K28" s="347"/>
      <c r="L28" s="347"/>
    </row>
    <row r="42" spans="11:12">
      <c r="K42" s="267" t="s">
        <v>3211</v>
      </c>
      <c r="L42" s="301">
        <f>K27+L27</f>
        <v>0</v>
      </c>
    </row>
  </sheetData>
  <sheetProtection algorithmName="SHA-512" hashValue="XimvyxlynS6vC5f8OrokGIdUw4bctXljiscx0+b0FgyZy/bCBFHqa1y3ReVxEMHG6W7iLgkNYO1sxb8/i8tD2Q==" saltValue="JQDqUwlZlf9pJQ2HHvltf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2F728-CD9A-4C40-B59C-6DFF8C83F702}">
  <sheetPr codeName="Sheet28">
    <pageSetUpPr fitToPage="1"/>
  </sheetPr>
  <dimension ref="B3:K51"/>
  <sheetViews>
    <sheetView topLeftCell="A24" zoomScaleNormal="100" workbookViewId="0">
      <selection activeCell="H31" sqref="H31"/>
    </sheetView>
  </sheetViews>
  <sheetFormatPr defaultColWidth="9.109375" defaultRowHeight="13.2"/>
  <cols>
    <col min="1" max="1" width="4.6640625" customWidth="1"/>
    <col min="2" max="2" width="4.88671875" customWidth="1"/>
    <col min="3" max="4" width="4.6640625" customWidth="1"/>
    <col min="5" max="5" width="30.6640625" customWidth="1"/>
    <col min="6" max="6" width="15.6640625" customWidth="1"/>
    <col min="7" max="8" width="22.88671875" customWidth="1"/>
    <col min="9" max="9" width="13.5546875" bestFit="1" customWidth="1"/>
    <col min="10" max="10" width="11.88671875" bestFit="1" customWidth="1"/>
    <col min="11" max="11" width="10.33203125" bestFit="1" customWidth="1"/>
  </cols>
  <sheetData>
    <row r="3" spans="2:9" ht="22.8">
      <c r="B3" s="1176" t="s">
        <v>424</v>
      </c>
      <c r="C3" s="1176"/>
      <c r="D3" s="1176"/>
      <c r="E3" s="1176"/>
      <c r="F3" s="1176"/>
      <c r="G3" s="1176"/>
      <c r="H3" s="1176"/>
    </row>
    <row r="4" spans="2:9" ht="22.8">
      <c r="B4" s="1176" t="s">
        <v>190</v>
      </c>
      <c r="C4" s="1176"/>
      <c r="D4" s="1176"/>
      <c r="E4" s="1176"/>
      <c r="F4" s="1176"/>
      <c r="G4" s="1176"/>
      <c r="H4" s="1176"/>
    </row>
    <row r="5" spans="2:9" ht="13.8">
      <c r="B5" s="1196"/>
      <c r="C5" s="1196"/>
      <c r="D5" s="1196"/>
      <c r="E5" s="1196"/>
      <c r="F5" s="1196"/>
      <c r="G5" s="1196"/>
      <c r="H5" s="1196"/>
    </row>
    <row r="6" spans="2:9" ht="15.6">
      <c r="B6" s="1182" t="str">
        <f>IF('KEY INPUTS'!C42 = "State Fiscal Year", 'KEY INPUTS'!F45,'KEY INPUTS'!D45)</f>
        <v>AS  AT  DECEMBER  31, 2024</v>
      </c>
      <c r="C6" s="1132"/>
      <c r="D6" s="1132"/>
      <c r="E6" s="1132"/>
      <c r="F6" s="1132"/>
      <c r="G6" s="1132"/>
      <c r="H6" s="1132"/>
    </row>
    <row r="7" spans="2:9" ht="13.8" thickBot="1"/>
    <row r="8" spans="2:9" ht="36" customHeight="1" thickTop="1" thickBot="1">
      <c r="B8" s="1179" t="s">
        <v>95</v>
      </c>
      <c r="C8" s="1179"/>
      <c r="D8" s="1179"/>
      <c r="E8" s="1179"/>
      <c r="F8" s="1180"/>
      <c r="G8" s="941" t="s">
        <v>96</v>
      </c>
      <c r="H8" s="3" t="s">
        <v>97</v>
      </c>
    </row>
    <row r="9" spans="2:9" ht="21" customHeight="1" thickTop="1">
      <c r="B9" s="603" t="s">
        <v>3263</v>
      </c>
      <c r="G9" s="62">
        <f>+'8-Trial Bal-Gen Cap Fund'!G44</f>
        <v>2570902.7800000003</v>
      </c>
      <c r="H9" s="60">
        <f>+'8-Trial Bal-Gen Cap Fund'!H44</f>
        <v>701850</v>
      </c>
      <c r="I9" s="204"/>
    </row>
    <row r="10" spans="2:9" ht="21" customHeight="1">
      <c r="B10" s="30"/>
      <c r="C10" s="1187"/>
      <c r="D10" s="1187"/>
      <c r="E10" s="1187"/>
      <c r="F10" s="1188"/>
      <c r="G10" s="510"/>
      <c r="H10" s="433"/>
      <c r="I10" s="204"/>
    </row>
    <row r="11" spans="2:9" ht="21" customHeight="1">
      <c r="C11" s="1187"/>
      <c r="D11" s="1187"/>
      <c r="E11" s="1187"/>
      <c r="F11" s="1188"/>
      <c r="G11" s="483"/>
      <c r="H11" s="653"/>
    </row>
    <row r="12" spans="2:9" ht="21" customHeight="1">
      <c r="B12" s="5"/>
      <c r="C12" s="1187"/>
      <c r="D12" s="1187"/>
      <c r="E12" s="1187"/>
      <c r="F12" s="1188"/>
      <c r="G12" s="654"/>
      <c r="H12" s="566"/>
      <c r="I12" s="576"/>
    </row>
    <row r="13" spans="2:9" ht="21" customHeight="1">
      <c r="B13" s="5"/>
      <c r="C13" s="1187"/>
      <c r="D13" s="1187"/>
      <c r="E13" s="1187"/>
      <c r="F13" s="1188"/>
      <c r="G13" s="289"/>
      <c r="H13" s="419"/>
    </row>
    <row r="14" spans="2:9" ht="21" customHeight="1">
      <c r="B14" s="5"/>
      <c r="C14" s="1187"/>
      <c r="D14" s="1187"/>
      <c r="E14" s="1187"/>
      <c r="F14" s="1188"/>
      <c r="G14" s="440"/>
      <c r="H14" s="419"/>
      <c r="I14" s="204"/>
    </row>
    <row r="15" spans="2:9" ht="21" customHeight="1">
      <c r="B15" s="5"/>
      <c r="C15" s="1187"/>
      <c r="D15" s="1187"/>
      <c r="E15" s="1187"/>
      <c r="F15" s="1188"/>
      <c r="G15" s="289"/>
      <c r="H15" s="419"/>
      <c r="I15" s="204"/>
    </row>
    <row r="16" spans="2:9" ht="21" customHeight="1">
      <c r="B16" s="5"/>
      <c r="C16" s="1187"/>
      <c r="D16" s="1187"/>
      <c r="E16" s="1187"/>
      <c r="F16" s="1188"/>
      <c r="G16" s="289"/>
      <c r="H16" s="419"/>
      <c r="I16" s="204"/>
    </row>
    <row r="17" spans="2:11" ht="21" customHeight="1">
      <c r="B17" s="5"/>
      <c r="C17" s="1187"/>
      <c r="D17" s="1187"/>
      <c r="E17" s="1187"/>
      <c r="F17" s="1188"/>
      <c r="G17" s="289"/>
      <c r="H17" s="419"/>
    </row>
    <row r="18" spans="2:11" ht="21" customHeight="1">
      <c r="B18" s="5"/>
      <c r="C18" s="1187"/>
      <c r="D18" s="1187"/>
      <c r="E18" s="1187"/>
      <c r="F18" s="1188"/>
      <c r="G18" s="440"/>
      <c r="H18" s="419"/>
      <c r="I18" s="575"/>
    </row>
    <row r="19" spans="2:11" ht="21" customHeight="1">
      <c r="B19" s="5"/>
      <c r="C19" s="1187"/>
      <c r="D19" s="1187"/>
      <c r="E19" s="1187"/>
      <c r="F19" s="1188"/>
      <c r="G19" s="565"/>
      <c r="H19" s="566"/>
      <c r="I19" s="204"/>
      <c r="J19" s="204"/>
      <c r="K19" s="204"/>
    </row>
    <row r="20" spans="2:11" ht="21" customHeight="1">
      <c r="B20" s="5"/>
      <c r="C20" s="1184" t="s">
        <v>3761</v>
      </c>
      <c r="D20" s="1187"/>
      <c r="E20" s="1187"/>
      <c r="F20" s="1188"/>
      <c r="G20" s="289"/>
      <c r="H20" s="419">
        <v>7249.45</v>
      </c>
    </row>
    <row r="21" spans="2:11" ht="21" customHeight="1">
      <c r="B21" s="5"/>
      <c r="C21" s="5" t="s">
        <v>426</v>
      </c>
      <c r="D21" s="5"/>
      <c r="E21" s="5"/>
      <c r="F21" s="5"/>
      <c r="G21" s="647"/>
      <c r="H21" s="648">
        <f>+'33 Totals-Note Debt Service'!G23</f>
        <v>242000</v>
      </c>
      <c r="I21" s="552"/>
    </row>
    <row r="22" spans="2:11" ht="21" customHeight="1">
      <c r="B22" s="5"/>
      <c r="C22" s="263" t="s">
        <v>3197</v>
      </c>
      <c r="D22" s="5"/>
      <c r="E22" s="5"/>
      <c r="F22" s="5"/>
      <c r="G22" s="649"/>
      <c r="H22" s="650">
        <f>'31-Capital Bond Schedule'!G12</f>
        <v>0</v>
      </c>
      <c r="I22" s="552"/>
    </row>
    <row r="23" spans="2:11" ht="21" customHeight="1">
      <c r="B23" s="5"/>
      <c r="C23" s="651" t="s">
        <v>3198</v>
      </c>
      <c r="D23" s="563"/>
      <c r="E23" s="563"/>
      <c r="F23" s="5"/>
      <c r="G23" s="647"/>
      <c r="H23" s="652">
        <f>'32-Bond Schedule'!G11+'32-Bond Schedule'!G22</f>
        <v>0</v>
      </c>
      <c r="I23" s="550"/>
    </row>
    <row r="24" spans="2:11" ht="21" customHeight="1">
      <c r="B24" s="5"/>
      <c r="C24" s="263" t="s">
        <v>3383</v>
      </c>
      <c r="D24" s="5"/>
      <c r="E24" s="5"/>
      <c r="F24" s="5"/>
      <c r="G24" s="663"/>
      <c r="H24" s="664">
        <f>+'31A-Loan Schedule'!G12+'31A-Loan Schedule'!G23+'31A.1-Loan Schedule'!G12+'31A.1-Loan Schedule'!G23+'31A.2-Loan Schedule'!G12+'31A.2-Loan Schedule'!G23</f>
        <v>0</v>
      </c>
    </row>
    <row r="25" spans="2:11" ht="21" customHeight="1">
      <c r="B25" s="5"/>
      <c r="C25" s="263" t="s">
        <v>3392</v>
      </c>
      <c r="D25" s="5"/>
      <c r="E25" s="5"/>
      <c r="F25" s="5"/>
      <c r="G25" s="666"/>
      <c r="H25" s="667">
        <f>'34a-Cap Lease Program Oblg'!G23</f>
        <v>0</v>
      </c>
    </row>
    <row r="26" spans="2:11" ht="21" customHeight="1">
      <c r="B26" s="5"/>
      <c r="C26" s="1184" t="s">
        <v>3763</v>
      </c>
      <c r="D26" s="1187"/>
      <c r="E26" s="1187"/>
      <c r="F26" s="1188"/>
      <c r="G26" s="289"/>
      <c r="H26" s="419">
        <v>365661.6</v>
      </c>
    </row>
    <row r="27" spans="2:11" ht="21" customHeight="1">
      <c r="B27" s="5"/>
      <c r="C27" s="1184" t="s">
        <v>3764</v>
      </c>
      <c r="D27" s="1187"/>
      <c r="E27" s="1187"/>
      <c r="F27" s="1188"/>
      <c r="G27" s="289"/>
      <c r="H27" s="419">
        <v>89301</v>
      </c>
    </row>
    <row r="28" spans="2:11" ht="21" customHeight="1">
      <c r="B28" s="5"/>
      <c r="C28" s="418" t="s">
        <v>3152</v>
      </c>
      <c r="D28" s="417"/>
      <c r="E28" s="417"/>
      <c r="F28" s="417"/>
      <c r="G28" s="289"/>
      <c r="H28" s="419">
        <v>0.95</v>
      </c>
      <c r="I28" s="204"/>
    </row>
    <row r="29" spans="2:11" ht="21" customHeight="1">
      <c r="B29" s="5"/>
      <c r="C29" s="1184" t="s">
        <v>3765</v>
      </c>
      <c r="D29" s="1187"/>
      <c r="E29" s="1187"/>
      <c r="F29" s="1188"/>
      <c r="G29" s="440"/>
      <c r="H29" s="568">
        <v>58000</v>
      </c>
      <c r="I29" s="204"/>
    </row>
    <row r="30" spans="2:11" ht="21" customHeight="1">
      <c r="B30" s="5"/>
      <c r="C30" s="1184" t="s">
        <v>3808</v>
      </c>
      <c r="D30" s="1187"/>
      <c r="E30" s="1187"/>
      <c r="F30" s="1188"/>
      <c r="G30" s="565"/>
      <c r="H30" s="566">
        <v>107828.96</v>
      </c>
      <c r="I30" s="204"/>
    </row>
    <row r="31" spans="2:11" ht="21" customHeight="1">
      <c r="B31" s="5"/>
      <c r="C31" s="1187"/>
      <c r="D31" s="1187"/>
      <c r="E31" s="1187"/>
      <c r="F31" s="1188"/>
      <c r="G31" s="289"/>
      <c r="H31" s="419"/>
    </row>
    <row r="32" spans="2:11" ht="21" customHeight="1">
      <c r="B32" s="5"/>
      <c r="C32" s="5" t="s">
        <v>802</v>
      </c>
      <c r="D32" s="5"/>
      <c r="E32" s="5"/>
      <c r="F32" s="5"/>
      <c r="G32" s="270"/>
      <c r="H32" s="271"/>
    </row>
    <row r="33" spans="2:9" ht="21" customHeight="1">
      <c r="B33" s="5"/>
      <c r="C33" s="5"/>
      <c r="D33" s="5" t="s">
        <v>799</v>
      </c>
      <c r="E33" s="5"/>
      <c r="F33" s="5"/>
      <c r="G33" s="289"/>
      <c r="H33" s="271">
        <f>+'35 Totals- Cap Fund Imprv Auth'!K28</f>
        <v>448602.51</v>
      </c>
      <c r="I33" s="552"/>
    </row>
    <row r="34" spans="2:9" ht="21" customHeight="1">
      <c r="B34" s="5"/>
      <c r="C34" s="5"/>
      <c r="D34" s="5" t="s">
        <v>800</v>
      </c>
      <c r="E34" s="5"/>
      <c r="F34" s="5"/>
      <c r="G34" s="565"/>
      <c r="H34" s="271">
        <f>+'35 Totals- Cap Fund Imprv Auth'!L28</f>
        <v>246777.13999999998</v>
      </c>
      <c r="I34" s="552"/>
    </row>
    <row r="35" spans="2:9" ht="21" customHeight="1">
      <c r="B35" s="5"/>
      <c r="C35" s="1187"/>
      <c r="D35" s="1187"/>
      <c r="E35" s="1187"/>
      <c r="F35" s="1188"/>
      <c r="G35" s="289"/>
      <c r="H35" s="419"/>
    </row>
    <row r="36" spans="2:9" ht="21" customHeight="1">
      <c r="B36" s="5"/>
      <c r="C36" s="263" t="s">
        <v>794</v>
      </c>
      <c r="D36" s="5"/>
      <c r="E36" s="5"/>
      <c r="F36" s="5"/>
      <c r="G36" s="565"/>
      <c r="H36" s="566"/>
      <c r="I36" s="204"/>
    </row>
    <row r="37" spans="2:9" ht="21" customHeight="1">
      <c r="B37" s="5"/>
      <c r="C37" s="1187"/>
      <c r="D37" s="1187"/>
      <c r="E37" s="1187"/>
      <c r="F37" s="1188"/>
      <c r="G37" s="289"/>
      <c r="H37" s="419"/>
    </row>
    <row r="38" spans="2:9" ht="21" customHeight="1">
      <c r="B38" s="5"/>
      <c r="C38" s="263" t="s">
        <v>314</v>
      </c>
      <c r="D38" s="5"/>
      <c r="E38" s="5"/>
      <c r="F38" s="5"/>
      <c r="G38" s="289"/>
      <c r="H38" s="568"/>
      <c r="I38" s="204"/>
    </row>
    <row r="39" spans="2:9" ht="21" customHeight="1">
      <c r="B39" s="5"/>
      <c r="C39" s="5" t="s">
        <v>803</v>
      </c>
      <c r="D39" s="5"/>
      <c r="E39" s="5"/>
      <c r="F39" s="5"/>
      <c r="G39" s="289"/>
      <c r="H39" s="271">
        <f>+'36- Capital Improvement Fund'!I31</f>
        <v>227438.99</v>
      </c>
      <c r="I39" s="552"/>
    </row>
    <row r="40" spans="2:9" ht="21" customHeight="1">
      <c r="B40" s="5"/>
      <c r="C40" s="571" t="s">
        <v>3199</v>
      </c>
      <c r="D40" s="563"/>
      <c r="E40" s="563"/>
      <c r="F40" s="563"/>
      <c r="G40" s="647"/>
      <c r="H40" s="652">
        <f>'37- Cap Fund Down Pymts'!I15</f>
        <v>0</v>
      </c>
      <c r="I40" s="550"/>
    </row>
    <row r="41" spans="2:9" ht="21" customHeight="1">
      <c r="B41" s="5"/>
      <c r="C41" s="1187"/>
      <c r="D41" s="1187"/>
      <c r="E41" s="1187"/>
      <c r="F41" s="1188"/>
      <c r="G41" s="291"/>
      <c r="H41" s="506"/>
      <c r="I41" s="204"/>
    </row>
    <row r="42" spans="2:9" ht="21" customHeight="1">
      <c r="B42" s="5"/>
      <c r="C42" s="1187"/>
      <c r="D42" s="1187"/>
      <c r="E42" s="1187"/>
      <c r="F42" s="1188"/>
      <c r="G42" s="289"/>
      <c r="H42" s="419"/>
    </row>
    <row r="43" spans="2:9" ht="21" customHeight="1" thickBot="1">
      <c r="B43" s="5"/>
      <c r="C43" s="5" t="s">
        <v>641</v>
      </c>
      <c r="D43" s="5"/>
      <c r="E43" s="5"/>
      <c r="F43" s="5"/>
      <c r="G43" s="435"/>
      <c r="H43" s="213">
        <f>+'38- Capital Surplus'!I17</f>
        <v>76192.179999999993</v>
      </c>
      <c r="I43" s="550"/>
    </row>
    <row r="44" spans="2:9" ht="21" customHeight="1" thickBot="1">
      <c r="B44" s="5"/>
      <c r="C44" s="5"/>
      <c r="D44" s="5"/>
      <c r="E44" s="5"/>
      <c r="F44" s="5"/>
      <c r="G44" s="199">
        <f>SUM(G9:G43)</f>
        <v>2570902.7800000003</v>
      </c>
      <c r="H44" s="200">
        <f>SUM(H9:H43)</f>
        <v>2570902.7799999998</v>
      </c>
      <c r="I44" s="204"/>
    </row>
    <row r="45" spans="2:9" ht="13.8" thickTop="1">
      <c r="B45" s="1158" t="s">
        <v>98</v>
      </c>
      <c r="C45" s="1158"/>
      <c r="D45" s="1158"/>
      <c r="E45" s="1158"/>
      <c r="F45" s="1158"/>
      <c r="G45" s="1158"/>
      <c r="H45" s="1158"/>
    </row>
    <row r="46" spans="2:9">
      <c r="B46" s="1"/>
      <c r="C46" s="1"/>
      <c r="D46" s="1"/>
      <c r="E46" s="1"/>
      <c r="F46" s="1"/>
      <c r="G46" s="1"/>
      <c r="H46" s="1"/>
    </row>
    <row r="48" spans="2:9" ht="13.8">
      <c r="B48" s="1130" t="s">
        <v>3366</v>
      </c>
      <c r="C48" s="1130"/>
      <c r="D48" s="1130"/>
      <c r="E48" s="1130"/>
      <c r="F48" s="1130"/>
      <c r="G48" s="1130"/>
      <c r="H48" s="1130"/>
    </row>
    <row r="50" spans="8:8">
      <c r="H50" s="204"/>
    </row>
    <row r="51" spans="8:8">
      <c r="H51" s="204"/>
    </row>
  </sheetData>
  <sheetProtection algorithmName="SHA-512" hashValue="N59ApbAsDa9pTcIhGxHb02D5F6ysUAkwxdfJBHdIn32+wILAwGPGnBTsF+9QOL2duCrdCeNKdXPOr2PZmiPObw==" saltValue="hb8ER7F1A2b3wgWaEhq8Pg==" spinCount="100000" sheet="1" objects="1" scenarios="1"/>
  <mergeCells count="27">
    <mergeCell ref="B48:H48"/>
    <mergeCell ref="B3:H3"/>
    <mergeCell ref="B4:H4"/>
    <mergeCell ref="B5:H5"/>
    <mergeCell ref="B6:H6"/>
    <mergeCell ref="B8:F8"/>
    <mergeCell ref="B45:H45"/>
    <mergeCell ref="C10:F10"/>
    <mergeCell ref="C11:F11"/>
    <mergeCell ref="C12:F12"/>
    <mergeCell ref="C13:F13"/>
    <mergeCell ref="C14:F14"/>
    <mergeCell ref="C15:F15"/>
    <mergeCell ref="C16:F16"/>
    <mergeCell ref="C17:F17"/>
    <mergeCell ref="C18:F18"/>
    <mergeCell ref="C19:F19"/>
    <mergeCell ref="C20:F20"/>
    <mergeCell ref="C26:F26"/>
    <mergeCell ref="C27:F27"/>
    <mergeCell ref="C29:F29"/>
    <mergeCell ref="C42:F42"/>
    <mergeCell ref="C30:F30"/>
    <mergeCell ref="C31:F31"/>
    <mergeCell ref="C35:F35"/>
    <mergeCell ref="C37:F37"/>
    <mergeCell ref="C41:F41"/>
  </mergeCells>
  <pageMargins left="0.25" right="0.25" top="0.5" bottom="0.5" header="0.25" footer="0.25"/>
  <pageSetup scale="76" orientation="portrait" r:id="rId1"/>
  <headerFooter alignWithMargins="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DCCA4-75E8-4F80-A745-1A4E940D4FE1}">
  <sheetPr codeName="Sheet268">
    <tabColor theme="7" tint="0.39997558519241921"/>
  </sheetPr>
  <dimension ref="B3:S54"/>
  <sheetViews>
    <sheetView zoomScaleNormal="100" zoomScaleSheetLayoutView="80" workbookViewId="0">
      <selection activeCell="B10" sqref="B10"/>
    </sheetView>
  </sheetViews>
  <sheetFormatPr defaultColWidth="9.109375" defaultRowHeight="13.2"/>
  <cols>
    <col min="1" max="3" width="4.6640625" style="267" customWidth="1"/>
    <col min="4" max="4" width="4.5546875" style="267" customWidth="1"/>
    <col min="5" max="6" width="9.109375" style="267"/>
    <col min="7" max="7" width="14.44140625" style="267" customWidth="1"/>
    <col min="8" max="8" width="15" style="267" customWidth="1"/>
    <col min="9" max="10" width="16.6640625" style="267" customWidth="1"/>
    <col min="11" max="16384" width="9.109375" style="267"/>
  </cols>
  <sheetData>
    <row r="3" spans="2:19" ht="22.8">
      <c r="B3" s="1358" t="str">
        <f>UPPER('KEY INPUTS'!D$58)&amp;" UTILITY  CAPITAL  FUND"</f>
        <v xml:space="preserve"> UTILITY  CAPITAL  FUND</v>
      </c>
      <c r="C3" s="1358"/>
      <c r="D3" s="1358"/>
      <c r="E3" s="1358"/>
      <c r="F3" s="1358"/>
      <c r="G3" s="1358"/>
      <c r="H3" s="1358"/>
      <c r="I3" s="1358"/>
      <c r="J3" s="1358"/>
    </row>
    <row r="5" spans="2:19" ht="15.6">
      <c r="B5" s="1360" t="s">
        <v>525</v>
      </c>
      <c r="C5" s="1360"/>
      <c r="D5" s="1360"/>
      <c r="E5" s="1360"/>
      <c r="F5" s="1360"/>
      <c r="G5" s="1360"/>
      <c r="H5" s="1360"/>
      <c r="I5" s="1360"/>
      <c r="J5" s="1360"/>
    </row>
    <row r="6" spans="2:19" ht="13.8" thickBot="1"/>
    <row r="7" spans="2:19" ht="28.5" customHeight="1" thickTop="1" thickBot="1">
      <c r="B7" s="364"/>
      <c r="C7" s="364"/>
      <c r="D7" s="364"/>
      <c r="E7" s="364"/>
      <c r="F7" s="364"/>
      <c r="G7" s="364"/>
      <c r="H7" s="364"/>
      <c r="I7" s="304" t="s">
        <v>96</v>
      </c>
      <c r="J7" s="308" t="s">
        <v>97</v>
      </c>
    </row>
    <row r="8" spans="2:19" ht="21" customHeight="1" thickTop="1">
      <c r="B8" s="313" t="str">
        <f>IF('KEY INPUTS'!C42 = "State Fiscal Year", 'KEY INPUTS'!F25,'KEY INPUTS'!D25)</f>
        <v>Balance - January 1, 2024</v>
      </c>
      <c r="C8" s="313"/>
      <c r="D8" s="313"/>
      <c r="E8" s="313"/>
      <c r="F8" s="313"/>
      <c r="G8" s="313"/>
      <c r="H8" s="409"/>
      <c r="I8" s="757" t="s">
        <v>627</v>
      </c>
      <c r="J8" s="486"/>
    </row>
    <row r="9" spans="2:19" ht="21" customHeight="1">
      <c r="B9" s="248" t="str">
        <f>"Received from "&amp;IF('KEY INPUTS'!C42="State Fiscal Year","Fiscal Year "&amp;'KEY INPUTS'!D33&amp;"",'KEY INPUTS'!D34)&amp;" Budget Appropriation"</f>
        <v>Received from 2024 Budget Appropriation</v>
      </c>
      <c r="C9" s="248"/>
      <c r="D9" s="248"/>
      <c r="E9" s="248"/>
      <c r="F9" s="248"/>
      <c r="G9" s="248"/>
      <c r="H9" s="407"/>
      <c r="I9" s="702" t="s">
        <v>627</v>
      </c>
      <c r="J9" s="457"/>
      <c r="M9"/>
      <c r="N9"/>
      <c r="O9"/>
      <c r="P9"/>
      <c r="Q9"/>
      <c r="R9"/>
      <c r="S9"/>
    </row>
    <row r="10" spans="2:19" ht="21" customHeight="1">
      <c r="B10" s="495"/>
      <c r="C10" s="495"/>
      <c r="D10" s="495"/>
      <c r="E10" s="495"/>
      <c r="F10" s="495"/>
      <c r="G10" s="495"/>
      <c r="H10" s="495"/>
      <c r="I10" s="702" t="s">
        <v>627</v>
      </c>
      <c r="J10" s="457"/>
      <c r="M10"/>
      <c r="N10"/>
      <c r="O10"/>
      <c r="P10"/>
      <c r="Q10"/>
      <c r="R10"/>
      <c r="S10"/>
    </row>
    <row r="11" spans="2:19" ht="11.25" customHeight="1">
      <c r="B11" s="412" t="s">
        <v>176</v>
      </c>
      <c r="C11" s="411"/>
      <c r="D11" s="411"/>
      <c r="E11" s="411"/>
      <c r="F11" s="411"/>
      <c r="G11" s="411"/>
      <c r="H11" s="406"/>
      <c r="I11" s="1458" t="s">
        <v>627</v>
      </c>
      <c r="J11" s="1456"/>
      <c r="M11" s="294"/>
      <c r="N11"/>
      <c r="O11"/>
      <c r="P11"/>
      <c r="Q11"/>
      <c r="R11"/>
      <c r="S11"/>
    </row>
    <row r="12" spans="2:19" ht="12.75" customHeight="1">
      <c r="B12" s="333"/>
      <c r="C12" s="408" t="s">
        <v>177</v>
      </c>
      <c r="D12" s="333"/>
      <c r="E12" s="333"/>
      <c r="F12" s="333"/>
      <c r="G12" s="333"/>
      <c r="H12" s="410"/>
      <c r="I12" s="1459"/>
      <c r="J12" s="1457"/>
      <c r="M12"/>
      <c r="N12"/>
      <c r="O12"/>
      <c r="P12"/>
      <c r="Q12"/>
      <c r="R12"/>
      <c r="S12"/>
    </row>
    <row r="13" spans="2:19" ht="21" customHeight="1">
      <c r="B13" s="514"/>
      <c r="C13" s="869"/>
      <c r="D13" s="514"/>
      <c r="E13" s="514"/>
      <c r="F13" s="514"/>
      <c r="G13" s="514"/>
      <c r="H13" s="514"/>
      <c r="I13" s="527"/>
      <c r="J13" s="293"/>
      <c r="M13"/>
      <c r="N13"/>
      <c r="O13"/>
      <c r="P13"/>
      <c r="Q13"/>
      <c r="R13"/>
      <c r="S13"/>
    </row>
    <row r="14" spans="2:19" ht="21" customHeight="1">
      <c r="B14" s="248" t="s">
        <v>178</v>
      </c>
      <c r="C14" s="248"/>
      <c r="D14" s="248"/>
      <c r="E14" s="248"/>
      <c r="F14" s="248"/>
      <c r="G14" s="248"/>
      <c r="H14" s="248"/>
      <c r="I14" s="702" t="s">
        <v>627</v>
      </c>
      <c r="J14" s="706" t="s">
        <v>627</v>
      </c>
      <c r="M14"/>
      <c r="N14"/>
      <c r="O14"/>
      <c r="P14"/>
      <c r="Q14"/>
      <c r="R14"/>
      <c r="S14"/>
    </row>
    <row r="15" spans="2:19" ht="21" customHeight="1">
      <c r="B15" s="495"/>
      <c r="C15" s="495"/>
      <c r="D15" s="495"/>
      <c r="E15" s="495"/>
      <c r="F15" s="495"/>
      <c r="G15" s="495"/>
      <c r="H15" s="495"/>
      <c r="I15" s="450"/>
      <c r="J15" s="706" t="s">
        <v>627</v>
      </c>
      <c r="M15"/>
      <c r="N15"/>
      <c r="O15"/>
      <c r="P15"/>
      <c r="Q15"/>
      <c r="R15"/>
      <c r="S15"/>
    </row>
    <row r="16" spans="2:19" ht="21" customHeight="1">
      <c r="B16" s="495"/>
      <c r="C16" s="495"/>
      <c r="D16" s="495"/>
      <c r="E16" s="495"/>
      <c r="F16" s="495"/>
      <c r="G16" s="495"/>
      <c r="H16" s="495"/>
      <c r="I16" s="450"/>
      <c r="J16" s="706" t="s">
        <v>627</v>
      </c>
      <c r="M16"/>
      <c r="N16"/>
      <c r="O16"/>
      <c r="P16"/>
      <c r="Q16"/>
      <c r="R16"/>
      <c r="S16"/>
    </row>
    <row r="17" spans="2:19" ht="21" customHeight="1">
      <c r="B17" s="495"/>
      <c r="C17" s="495"/>
      <c r="D17" s="495"/>
      <c r="E17" s="495"/>
      <c r="F17" s="495"/>
      <c r="G17" s="495"/>
      <c r="H17" s="495"/>
      <c r="I17" s="450"/>
      <c r="J17" s="706" t="s">
        <v>627</v>
      </c>
      <c r="M17"/>
      <c r="N17"/>
      <c r="O17"/>
      <c r="P17"/>
      <c r="Q17"/>
      <c r="R17"/>
      <c r="S17"/>
    </row>
    <row r="18" spans="2:19" ht="21" customHeight="1">
      <c r="B18" s="495"/>
      <c r="C18" s="495"/>
      <c r="D18" s="495"/>
      <c r="E18" s="495"/>
      <c r="F18" s="495"/>
      <c r="G18" s="495"/>
      <c r="H18" s="495"/>
      <c r="I18" s="450"/>
      <c r="J18" s="706" t="s">
        <v>627</v>
      </c>
      <c r="M18"/>
      <c r="N18"/>
      <c r="O18"/>
      <c r="P18"/>
      <c r="Q18"/>
      <c r="R18"/>
      <c r="S18"/>
    </row>
    <row r="19" spans="2:19" ht="21" customHeight="1">
      <c r="B19" s="495"/>
      <c r="C19" s="495"/>
      <c r="D19" s="495"/>
      <c r="E19" s="495"/>
      <c r="F19" s="495"/>
      <c r="G19" s="495"/>
      <c r="H19" s="495"/>
      <c r="I19" s="450"/>
      <c r="J19" s="706" t="s">
        <v>627</v>
      </c>
      <c r="M19"/>
      <c r="N19"/>
      <c r="O19"/>
      <c r="P19"/>
      <c r="Q19"/>
      <c r="R19"/>
      <c r="S19"/>
    </row>
    <row r="20" spans="2:19" ht="21" customHeight="1">
      <c r="B20" s="495"/>
      <c r="C20" s="495"/>
      <c r="D20" s="495"/>
      <c r="E20" s="495"/>
      <c r="F20" s="495"/>
      <c r="G20" s="495"/>
      <c r="H20" s="495"/>
      <c r="I20" s="450"/>
      <c r="J20" s="706" t="s">
        <v>627</v>
      </c>
      <c r="M20"/>
      <c r="N20"/>
      <c r="O20"/>
      <c r="P20"/>
      <c r="Q20"/>
      <c r="R20"/>
      <c r="S20"/>
    </row>
    <row r="21" spans="2:19" ht="21" customHeight="1">
      <c r="B21" s="495"/>
      <c r="C21" s="495"/>
      <c r="D21" s="495"/>
      <c r="E21" s="495"/>
      <c r="F21" s="495"/>
      <c r="G21" s="495"/>
      <c r="H21" s="495"/>
      <c r="I21" s="450"/>
      <c r="J21" s="706" t="s">
        <v>627</v>
      </c>
      <c r="M21"/>
      <c r="N21"/>
      <c r="O21"/>
      <c r="P21"/>
      <c r="Q21"/>
      <c r="R21"/>
      <c r="S21"/>
    </row>
    <row r="22" spans="2:19" ht="21" customHeight="1">
      <c r="B22" s="248" t="s">
        <v>179</v>
      </c>
      <c r="C22" s="248"/>
      <c r="D22" s="248"/>
      <c r="E22" s="248"/>
      <c r="F22" s="248"/>
      <c r="G22" s="248"/>
      <c r="H22" s="407"/>
      <c r="I22" s="450"/>
      <c r="J22" s="706" t="s">
        <v>627</v>
      </c>
      <c r="M22"/>
      <c r="N22"/>
      <c r="O22"/>
      <c r="P22"/>
      <c r="Q22"/>
      <c r="R22"/>
      <c r="S22"/>
    </row>
    <row r="23" spans="2:19" ht="21" customHeight="1">
      <c r="B23" s="495"/>
      <c r="C23" s="495"/>
      <c r="D23" s="495"/>
      <c r="E23" s="495"/>
      <c r="F23" s="495"/>
      <c r="G23" s="495"/>
      <c r="H23" s="495"/>
      <c r="I23" s="450"/>
      <c r="J23" s="706" t="s">
        <v>627</v>
      </c>
      <c r="M23"/>
      <c r="N23"/>
      <c r="O23"/>
      <c r="P23"/>
      <c r="Q23"/>
      <c r="R23"/>
      <c r="S23"/>
    </row>
    <row r="24" spans="2:19" ht="21" customHeight="1" thickBot="1">
      <c r="B24" s="248" t="str">
        <f>IF('KEY INPUTS'!C42 = "State Fiscal Year", 'KEY INPUTS'!F26,'KEY INPUTS'!D26)</f>
        <v>Balance - December 31, 2024</v>
      </c>
      <c r="C24" s="248"/>
      <c r="D24" s="248"/>
      <c r="E24" s="248"/>
      <c r="F24" s="248"/>
      <c r="G24" s="248"/>
      <c r="H24" s="407"/>
      <c r="I24" s="768">
        <f>+SUM(J8:J13)-SUM(I13:I23)</f>
        <v>0</v>
      </c>
      <c r="J24" s="766" t="s">
        <v>627</v>
      </c>
      <c r="M24"/>
      <c r="N24"/>
      <c r="O24"/>
      <c r="P24"/>
      <c r="Q24"/>
      <c r="R24"/>
      <c r="S24"/>
    </row>
    <row r="25" spans="2:19" ht="21" customHeight="1" thickTop="1" thickBot="1">
      <c r="I25" s="748">
        <f>SUM(I8:I24)</f>
        <v>0</v>
      </c>
      <c r="J25" s="769">
        <f>SUM(J8:J24)</f>
        <v>0</v>
      </c>
      <c r="M25"/>
      <c r="N25"/>
      <c r="O25"/>
      <c r="P25"/>
      <c r="Q25"/>
      <c r="R25"/>
      <c r="S25"/>
    </row>
    <row r="26" spans="2:19" ht="13.8" thickTop="1"/>
    <row r="30" spans="2:19" ht="22.8">
      <c r="B30" s="1358" t="str">
        <f>UPPER('KEY INPUTS'!D$58)&amp;" UTILITY  CAPITAL  FUND"</f>
        <v xml:space="preserve"> UTILITY  CAPITAL  FUND</v>
      </c>
      <c r="C30" s="1358"/>
      <c r="D30" s="1358"/>
      <c r="E30" s="1358"/>
      <c r="F30" s="1358"/>
      <c r="G30" s="1358"/>
      <c r="H30" s="1358"/>
      <c r="I30" s="1358"/>
      <c r="J30" s="1358"/>
    </row>
    <row r="31" spans="2:19" ht="7.5" customHeight="1"/>
    <row r="32" spans="2:19" ht="15.6">
      <c r="B32" s="1360" t="s">
        <v>180</v>
      </c>
      <c r="C32" s="1360"/>
      <c r="D32" s="1360"/>
      <c r="E32" s="1360"/>
      <c r="F32" s="1360"/>
      <c r="G32" s="1360"/>
      <c r="H32" s="1360"/>
      <c r="I32" s="1360"/>
      <c r="J32" s="1360"/>
    </row>
    <row r="33" spans="2:10" ht="13.8" thickBot="1"/>
    <row r="34" spans="2:10" ht="26.25" customHeight="1" thickTop="1" thickBot="1">
      <c r="B34" s="364"/>
      <c r="C34" s="364"/>
      <c r="D34" s="364"/>
      <c r="E34" s="364"/>
      <c r="F34" s="364"/>
      <c r="G34" s="364"/>
      <c r="H34" s="364"/>
      <c r="I34" s="304" t="s">
        <v>96</v>
      </c>
      <c r="J34" s="308" t="s">
        <v>97</v>
      </c>
    </row>
    <row r="35" spans="2:10" ht="21" customHeight="1" thickTop="1">
      <c r="B35" s="313" t="str">
        <f>IF('KEY INPUTS'!C42 = "State Fiscal Year", 'KEY INPUTS'!F25,'KEY INPUTS'!D25)</f>
        <v>Balance - January 1, 2024</v>
      </c>
      <c r="C35" s="313"/>
      <c r="D35" s="313"/>
      <c r="E35" s="313"/>
      <c r="F35" s="313"/>
      <c r="G35" s="313"/>
      <c r="H35" s="409"/>
      <c r="I35" s="757" t="s">
        <v>627</v>
      </c>
      <c r="J35" s="486"/>
    </row>
    <row r="36" spans="2:10" ht="21" customHeight="1">
      <c r="B36" s="248" t="str">
        <f>"Received from "&amp;IF('KEY INPUTS'!C42="State Fiscal Year","Fiscal Year "&amp;'KEY INPUTS'!D33)&amp;" Budget Appropriation *"</f>
        <v>Received from FALSE Budget Appropriation *</v>
      </c>
      <c r="C36" s="248"/>
      <c r="D36" s="248"/>
      <c r="E36" s="248"/>
      <c r="F36" s="248"/>
      <c r="G36" s="248"/>
      <c r="H36" s="407"/>
      <c r="I36" s="702" t="s">
        <v>627</v>
      </c>
      <c r="J36" s="457"/>
    </row>
    <row r="37" spans="2:10" ht="21" customHeight="1">
      <c r="B37" s="248" t="str">
        <f>"Received from "&amp;IF('KEY INPUTS'!C42="State Fiscal Year","Fiscal Year "&amp;'KEY INPUTS'!D33)&amp;" Emergency Appropriation *"</f>
        <v>Received from FALSE Emergency Appropriation *</v>
      </c>
      <c r="C37" s="248"/>
      <c r="D37" s="248"/>
      <c r="E37" s="248"/>
      <c r="F37" s="248"/>
      <c r="G37" s="248"/>
      <c r="H37" s="407"/>
      <c r="I37" s="702" t="s">
        <v>627</v>
      </c>
      <c r="J37" s="457"/>
    </row>
    <row r="38" spans="2:10" ht="21" customHeight="1">
      <c r="B38" s="514"/>
      <c r="C38" s="869"/>
      <c r="D38" s="514"/>
      <c r="E38" s="514"/>
      <c r="F38" s="514"/>
      <c r="G38" s="514"/>
      <c r="H38" s="514"/>
      <c r="I38" s="527"/>
      <c r="J38" s="293"/>
    </row>
    <row r="39" spans="2:10" ht="21" customHeight="1">
      <c r="B39" s="248" t="s">
        <v>179</v>
      </c>
      <c r="C39" s="248"/>
      <c r="D39" s="248"/>
      <c r="E39" s="248"/>
      <c r="F39" s="248"/>
      <c r="G39" s="248"/>
      <c r="H39" s="407"/>
      <c r="I39" s="450"/>
      <c r="J39" s="706" t="s">
        <v>627</v>
      </c>
    </row>
    <row r="40" spans="2:10" ht="21" customHeight="1">
      <c r="B40" s="495"/>
      <c r="C40" s="495"/>
      <c r="D40" s="495"/>
      <c r="E40" s="495"/>
      <c r="F40" s="495"/>
      <c r="G40" s="495"/>
      <c r="H40" s="495"/>
      <c r="I40" s="450"/>
      <c r="J40" s="706" t="s">
        <v>627</v>
      </c>
    </row>
    <row r="41" spans="2:10" ht="21" customHeight="1" thickBot="1">
      <c r="B41" s="248" t="str">
        <f>IF('KEY INPUTS'!C42 = "State Fiscal Year", 'KEY INPUTS'!F26,'KEY INPUTS'!D26)</f>
        <v>Balance - December 31, 2024</v>
      </c>
      <c r="C41" s="248"/>
      <c r="D41" s="248"/>
      <c r="E41" s="248"/>
      <c r="F41" s="248"/>
      <c r="G41" s="248"/>
      <c r="H41" s="407"/>
      <c r="I41" s="870">
        <f>SUM(J35:J38)-SUM(I38:I40)</f>
        <v>0</v>
      </c>
      <c r="J41" s="766" t="s">
        <v>627</v>
      </c>
    </row>
    <row r="42" spans="2:10" ht="21" customHeight="1" thickTop="1" thickBot="1">
      <c r="I42" s="748">
        <f>SUM(I35:I41)</f>
        <v>0</v>
      </c>
      <c r="J42" s="769">
        <f>SUM(J35:J41)</f>
        <v>0</v>
      </c>
    </row>
    <row r="43" spans="2:10" ht="21" customHeight="1" thickTop="1">
      <c r="I43" s="176"/>
      <c r="J43" s="176"/>
    </row>
    <row r="44" spans="2:10" ht="21" customHeight="1"/>
    <row r="45" spans="2:10" ht="13.5" customHeight="1">
      <c r="B45" s="359" t="str">
        <f>"*The full amount of the "&amp;IF('KEY INPUTS'!C42="State Fiscal Year","Fiscal Year "&amp;'KEY INPUTS'!D33)&amp;" budget appropriation should be transferred to this account unless the balance of"</f>
        <v>*The full amount of the FALSE budget appropriation should be transferred to this account unless the balance of</v>
      </c>
      <c r="C45" s="359"/>
    </row>
    <row r="46" spans="2:10" ht="13.5" customHeight="1">
      <c r="B46" s="359"/>
      <c r="C46" s="359" t="s">
        <v>3581</v>
      </c>
    </row>
    <row r="47" spans="2:10" ht="13.5" customHeight="1">
      <c r="B47" s="359"/>
      <c r="C47" s="359"/>
    </row>
    <row r="48" spans="2:10" ht="13.5" customHeight="1">
      <c r="B48" s="359"/>
      <c r="C48" s="359"/>
    </row>
    <row r="49" spans="2:10" ht="13.5" customHeight="1">
      <c r="B49" s="359"/>
      <c r="C49" s="359"/>
    </row>
    <row r="50" spans="2:10" ht="13.5" customHeight="1">
      <c r="B50" s="359"/>
      <c r="C50" s="359"/>
    </row>
    <row r="51" spans="2:10" ht="13.5" customHeight="1">
      <c r="B51" s="359"/>
      <c r="C51" s="359"/>
    </row>
    <row r="52" spans="2:10" ht="13.5" customHeight="1">
      <c r="B52" s="359"/>
      <c r="C52" s="359"/>
    </row>
    <row r="53" spans="2:10" ht="13.5" customHeight="1">
      <c r="B53" s="359"/>
      <c r="C53" s="359"/>
    </row>
    <row r="54" spans="2:10" ht="13.8">
      <c r="B54" s="1353" t="s">
        <v>3172</v>
      </c>
      <c r="C54" s="1353"/>
      <c r="D54" s="1353"/>
      <c r="E54" s="1353"/>
      <c r="F54" s="1353"/>
      <c r="G54" s="1353"/>
      <c r="H54" s="1353"/>
      <c r="I54" s="1353"/>
      <c r="J54" s="1353"/>
    </row>
  </sheetData>
  <sheetProtection algorithmName="SHA-512" hashValue="Lso7z7NYHTOfnVsTf5/y+G50A52xhD482qc3I2+S99poHMtU/qW8mu2TcghBU43AhvFOjRnNPiY7A4plyvCdJg==" saltValue="B5JYE4a34SwL36Q5NeFHgA==" spinCount="100000" sheet="1" objects="1" scenarios="1"/>
  <mergeCells count="7">
    <mergeCell ref="B3:J3"/>
    <mergeCell ref="B5:J5"/>
    <mergeCell ref="B30:J30"/>
    <mergeCell ref="B32:J32"/>
    <mergeCell ref="B54:J54"/>
    <mergeCell ref="I11:I12"/>
    <mergeCell ref="J11:J12"/>
  </mergeCells>
  <pageMargins left="0.25" right="0.25" top="0.5" bottom="0.5" header="0.25" footer="0.25"/>
  <pageSetup paperSize="5" orientation="portrait" r:id="rId1"/>
  <headerFooter alignWithMargins="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2371B-2409-4030-AF7B-E74F7C56E31C}">
  <sheetPr codeName="Sheet269">
    <tabColor theme="7" tint="0.39997558519241921"/>
  </sheetPr>
  <dimension ref="B1:AC52"/>
  <sheetViews>
    <sheetView zoomScaleNormal="100" zoomScaleSheetLayoutView="80" workbookViewId="0">
      <selection activeCell="G38" sqref="G38"/>
    </sheetView>
  </sheetViews>
  <sheetFormatPr defaultColWidth="8.88671875" defaultRowHeight="13.2"/>
  <cols>
    <col min="1" max="3" width="4.6640625" style="267" customWidth="1"/>
    <col min="4" max="4" width="4.5546875" style="267" customWidth="1"/>
    <col min="5" max="5" width="8.88671875" style="267"/>
    <col min="6" max="6" width="6.6640625" style="267" customWidth="1"/>
    <col min="7" max="10" width="16.6640625" style="267" customWidth="1"/>
    <col min="11" max="20" width="8.88671875" style="267"/>
    <col min="21" max="23" width="4.6640625" customWidth="1"/>
    <col min="25" max="25" width="6.6640625" customWidth="1"/>
    <col min="26" max="29" width="16.6640625" customWidth="1"/>
    <col min="30" max="16384" width="8.88671875" style="267"/>
  </cols>
  <sheetData>
    <row r="1" spans="2:19">
      <c r="D1" s="359"/>
      <c r="E1" s="359"/>
    </row>
    <row r="2" spans="2:19">
      <c r="D2" s="359"/>
      <c r="E2" s="359"/>
    </row>
    <row r="3" spans="2:19" ht="24.6">
      <c r="B3" s="1460" t="str">
        <f>UPPER('KEY INPUTS'!D$58)&amp;" UTILITY FUND"</f>
        <v xml:space="preserve"> UTILITY FUND</v>
      </c>
      <c r="C3" s="1460"/>
      <c r="D3" s="1460"/>
      <c r="E3" s="1460"/>
      <c r="F3" s="1460"/>
      <c r="G3" s="1460"/>
      <c r="H3" s="1460"/>
      <c r="I3" s="1460"/>
      <c r="J3" s="1460"/>
    </row>
    <row r="5" spans="2:19" ht="17.399999999999999">
      <c r="B5" s="1380" t="str">
        <f>"CAPITAL  IMPROVEMENTS  AUTHORIZED  IN  "&amp;IF('KEY INPUTS'!C42="State Fiscal Year","FISCAL  YEAR  "&amp;'KEY INPUTS'!D33&amp;"",'KEY INPUTS'!D34+1)&amp;""</f>
        <v>CAPITAL  IMPROVEMENTS  AUTHORIZED  IN  2025</v>
      </c>
      <c r="C5" s="1380"/>
      <c r="D5" s="1380"/>
      <c r="E5" s="1380"/>
      <c r="F5" s="1380"/>
      <c r="G5" s="1380"/>
      <c r="H5" s="1380"/>
      <c r="I5" s="1380"/>
      <c r="J5" s="1380"/>
    </row>
    <row r="6" spans="2:19" ht="17.399999999999999">
      <c r="B6" s="1380" t="s">
        <v>3569</v>
      </c>
      <c r="C6" s="1380"/>
      <c r="D6" s="1380"/>
      <c r="E6" s="1380"/>
      <c r="F6" s="1380"/>
      <c r="G6" s="1380"/>
      <c r="H6" s="1380"/>
      <c r="I6" s="1380"/>
      <c r="J6" s="1380"/>
    </row>
    <row r="7" spans="2:19" ht="13.8" thickBot="1"/>
    <row r="8" spans="2:19" ht="13.8" thickTop="1">
      <c r="B8" s="323"/>
      <c r="C8" s="323"/>
      <c r="D8" s="323"/>
      <c r="E8" s="323"/>
      <c r="F8" s="323"/>
      <c r="G8" s="324"/>
      <c r="H8" s="324"/>
      <c r="I8" s="324"/>
      <c r="J8" s="353" t="s">
        <v>240</v>
      </c>
    </row>
    <row r="9" spans="2:19">
      <c r="C9" s="1352" t="s">
        <v>413</v>
      </c>
      <c r="D9" s="1352"/>
      <c r="E9" s="1352"/>
      <c r="G9" s="320" t="s">
        <v>414</v>
      </c>
      <c r="H9" s="320" t="s">
        <v>201</v>
      </c>
      <c r="I9" s="320" t="s">
        <v>204</v>
      </c>
      <c r="J9" s="302" t="s">
        <v>241</v>
      </c>
    </row>
    <row r="10" spans="2:19">
      <c r="G10" s="320" t="s">
        <v>202</v>
      </c>
      <c r="H10" s="320" t="s">
        <v>203</v>
      </c>
      <c r="I10" s="320" t="s">
        <v>205</v>
      </c>
      <c r="J10" s="302" t="str">
        <f>"of " &amp;IF('KEY INPUTS'!C42="State Fiscal Year","FY "&amp;'KEY INPUTS'!D33&amp;"",'KEY INPUTS'!D34+1)&amp;" or"</f>
        <v>of 2025 or</v>
      </c>
    </row>
    <row r="11" spans="2:19" ht="13.8" thickBot="1">
      <c r="B11" s="318"/>
      <c r="C11" s="318"/>
      <c r="D11" s="318"/>
      <c r="E11" s="318"/>
      <c r="F11" s="318"/>
      <c r="G11" s="317"/>
      <c r="H11" s="317" t="s">
        <v>441</v>
      </c>
      <c r="I11" s="317" t="s">
        <v>239</v>
      </c>
      <c r="J11" s="416" t="s">
        <v>3579</v>
      </c>
      <c r="M11"/>
      <c r="N11"/>
      <c r="O11"/>
      <c r="P11"/>
      <c r="Q11"/>
      <c r="R11"/>
      <c r="S11"/>
    </row>
    <row r="12" spans="2:19" ht="21" customHeight="1" thickTop="1">
      <c r="B12" s="518"/>
      <c r="C12" s="518"/>
      <c r="D12" s="518"/>
      <c r="E12" s="518"/>
      <c r="F12" s="518"/>
      <c r="G12" s="454"/>
      <c r="H12" s="454"/>
      <c r="I12" s="454"/>
      <c r="J12" s="486"/>
      <c r="M12"/>
      <c r="N12"/>
      <c r="O12"/>
      <c r="P12"/>
      <c r="Q12"/>
      <c r="R12"/>
      <c r="S12"/>
    </row>
    <row r="13" spans="2:19" ht="21" customHeight="1">
      <c r="B13" s="495"/>
      <c r="C13" s="495"/>
      <c r="D13" s="495"/>
      <c r="E13" s="495"/>
      <c r="F13" s="495"/>
      <c r="G13" s="450"/>
      <c r="H13" s="450"/>
      <c r="I13" s="450"/>
      <c r="J13" s="457"/>
      <c r="M13" s="294"/>
      <c r="N13"/>
      <c r="O13"/>
      <c r="P13"/>
      <c r="Q13"/>
      <c r="R13"/>
      <c r="S13"/>
    </row>
    <row r="14" spans="2:19" ht="21" customHeight="1">
      <c r="B14" s="495"/>
      <c r="C14" s="495"/>
      <c r="D14" s="495"/>
      <c r="E14" s="495"/>
      <c r="F14" s="495"/>
      <c r="G14" s="450"/>
      <c r="H14" s="450"/>
      <c r="I14" s="450"/>
      <c r="J14" s="457"/>
      <c r="M14"/>
      <c r="N14"/>
      <c r="O14"/>
      <c r="P14"/>
      <c r="Q14"/>
      <c r="R14"/>
      <c r="S14"/>
    </row>
    <row r="15" spans="2:19" ht="21" customHeight="1">
      <c r="B15" s="495"/>
      <c r="C15" s="495"/>
      <c r="D15" s="495"/>
      <c r="E15" s="495"/>
      <c r="F15" s="495"/>
      <c r="G15" s="450"/>
      <c r="H15" s="450"/>
      <c r="I15" s="450"/>
      <c r="J15" s="457"/>
      <c r="M15"/>
      <c r="N15"/>
      <c r="O15"/>
      <c r="P15"/>
      <c r="Q15"/>
      <c r="R15"/>
      <c r="S15"/>
    </row>
    <row r="16" spans="2:19" ht="21" customHeight="1">
      <c r="B16" s="495"/>
      <c r="C16" s="495"/>
      <c r="D16" s="495"/>
      <c r="E16" s="495"/>
      <c r="F16" s="495"/>
      <c r="G16" s="450"/>
      <c r="H16" s="450"/>
      <c r="I16" s="450"/>
      <c r="J16" s="457"/>
      <c r="M16"/>
      <c r="N16"/>
      <c r="O16"/>
      <c r="P16"/>
      <c r="Q16"/>
      <c r="R16"/>
      <c r="S16"/>
    </row>
    <row r="17" spans="2:19" ht="21" customHeight="1">
      <c r="B17" s="495"/>
      <c r="C17" s="495"/>
      <c r="D17" s="495"/>
      <c r="E17" s="495"/>
      <c r="F17" s="495"/>
      <c r="G17" s="450"/>
      <c r="H17" s="450"/>
      <c r="I17" s="450"/>
      <c r="J17" s="457"/>
      <c r="M17"/>
      <c r="N17"/>
      <c r="O17"/>
      <c r="P17"/>
      <c r="Q17"/>
      <c r="R17"/>
      <c r="S17"/>
    </row>
    <row r="18" spans="2:19" ht="21" customHeight="1">
      <c r="B18" s="495"/>
      <c r="C18" s="495"/>
      <c r="D18" s="495"/>
      <c r="E18" s="495"/>
      <c r="F18" s="495"/>
      <c r="G18" s="450"/>
      <c r="H18" s="450"/>
      <c r="I18" s="450"/>
      <c r="J18" s="457"/>
      <c r="M18"/>
      <c r="N18"/>
      <c r="O18"/>
      <c r="P18"/>
      <c r="Q18"/>
      <c r="R18"/>
      <c r="S18"/>
    </row>
    <row r="19" spans="2:19" ht="21" customHeight="1">
      <c r="B19" s="495"/>
      <c r="C19" s="495"/>
      <c r="D19" s="495"/>
      <c r="E19" s="495"/>
      <c r="F19" s="495"/>
      <c r="G19" s="450"/>
      <c r="H19" s="450"/>
      <c r="I19" s="450"/>
      <c r="J19" s="457"/>
      <c r="M19"/>
      <c r="N19"/>
      <c r="O19"/>
      <c r="P19"/>
      <c r="Q19"/>
      <c r="R19"/>
      <c r="S19"/>
    </row>
    <row r="20" spans="2:19" ht="21" customHeight="1">
      <c r="B20" s="495"/>
      <c r="C20" s="495"/>
      <c r="D20" s="495"/>
      <c r="E20" s="495"/>
      <c r="F20" s="495"/>
      <c r="G20" s="450"/>
      <c r="H20" s="450"/>
      <c r="I20" s="450"/>
      <c r="J20" s="457"/>
      <c r="M20"/>
      <c r="N20"/>
      <c r="O20"/>
      <c r="P20"/>
      <c r="Q20"/>
      <c r="R20"/>
      <c r="S20"/>
    </row>
    <row r="21" spans="2:19" ht="21" customHeight="1" thickBot="1">
      <c r="B21" s="495"/>
      <c r="C21" s="495"/>
      <c r="D21" s="495"/>
      <c r="E21" s="495"/>
      <c r="F21" s="495"/>
      <c r="G21" s="475"/>
      <c r="H21" s="475"/>
      <c r="I21" s="475"/>
      <c r="J21" s="516"/>
      <c r="M21"/>
      <c r="N21"/>
      <c r="O21"/>
      <c r="P21"/>
      <c r="Q21"/>
      <c r="R21"/>
      <c r="S21"/>
    </row>
    <row r="22" spans="2:19" ht="21" customHeight="1" thickTop="1" thickBot="1">
      <c r="B22" s="318"/>
      <c r="C22" s="318"/>
      <c r="D22" s="318"/>
      <c r="E22" s="318"/>
      <c r="F22" s="318"/>
      <c r="G22" s="785">
        <f>SUM(G12:G21)</f>
        <v>0</v>
      </c>
      <c r="H22" s="785">
        <f>SUM(H12:H21)</f>
        <v>0</v>
      </c>
      <c r="I22" s="785">
        <f>SUM(I12:I21)</f>
        <v>0</v>
      </c>
      <c r="J22" s="917">
        <f>SUM(J12:J21)</f>
        <v>0</v>
      </c>
      <c r="M22"/>
      <c r="N22"/>
      <c r="O22"/>
      <c r="P22"/>
      <c r="Q22"/>
      <c r="R22"/>
      <c r="S22"/>
    </row>
    <row r="23" spans="2:19" ht="13.8" thickTop="1">
      <c r="M23"/>
      <c r="N23"/>
      <c r="O23"/>
      <c r="P23"/>
      <c r="Q23"/>
      <c r="R23"/>
      <c r="S23"/>
    </row>
    <row r="24" spans="2:19">
      <c r="M24"/>
      <c r="N24"/>
      <c r="O24"/>
      <c r="P24"/>
      <c r="Q24"/>
      <c r="R24"/>
      <c r="S24"/>
    </row>
    <row r="25" spans="2:19">
      <c r="M25"/>
      <c r="N25"/>
      <c r="O25"/>
      <c r="P25"/>
      <c r="Q25"/>
      <c r="R25"/>
      <c r="S25"/>
    </row>
    <row r="26" spans="2:19">
      <c r="M26"/>
      <c r="N26"/>
      <c r="O26"/>
      <c r="P26"/>
      <c r="Q26"/>
      <c r="R26"/>
      <c r="S26"/>
    </row>
    <row r="27" spans="2:19">
      <c r="M27"/>
      <c r="N27"/>
      <c r="O27"/>
      <c r="P27"/>
      <c r="Q27"/>
      <c r="R27"/>
      <c r="S27"/>
    </row>
    <row r="28" spans="2:19" ht="22.8">
      <c r="B28" s="1358" t="str">
        <f>UPPER('KEY INPUTS'!D$58)&amp;" UTILITY  CAPITAL  FUND"</f>
        <v xml:space="preserve"> UTILITY  CAPITAL  FUND</v>
      </c>
      <c r="C28" s="1358"/>
      <c r="D28" s="1358"/>
      <c r="E28" s="1358"/>
      <c r="F28" s="1358"/>
      <c r="G28" s="1358"/>
      <c r="H28" s="1358"/>
      <c r="I28" s="1358"/>
      <c r="J28" s="1358"/>
    </row>
    <row r="29" spans="2:19" ht="22.8">
      <c r="B29" s="1358" t="s">
        <v>154</v>
      </c>
      <c r="C29" s="1358"/>
      <c r="D29" s="1358"/>
      <c r="E29" s="1358"/>
      <c r="F29" s="1358"/>
      <c r="G29" s="1358"/>
      <c r="H29" s="1358"/>
      <c r="I29" s="1358"/>
      <c r="J29" s="1358"/>
    </row>
    <row r="31" spans="2:19" ht="15.6">
      <c r="B31" s="1354" t="str">
        <f>IF('KEY INPUTS'!C42="State Fiscal Year",(UPPER("Fiscal Year "&amp;'KEY INPUTS'!D33))&amp;"",'KEY INPUTS'!D34+1)&amp;""</f>
        <v>2025</v>
      </c>
      <c r="C31" s="1354"/>
      <c r="D31" s="1354"/>
      <c r="E31" s="1354"/>
      <c r="F31" s="1354"/>
      <c r="G31" s="1354"/>
      <c r="H31" s="1354"/>
      <c r="I31" s="1354"/>
      <c r="J31" s="1354"/>
    </row>
    <row r="32" spans="2:19" ht="13.8" thickBot="1"/>
    <row r="33" spans="2:10" ht="28.5" customHeight="1" thickTop="1" thickBot="1">
      <c r="B33" s="364"/>
      <c r="C33" s="364"/>
      <c r="D33" s="364"/>
      <c r="E33" s="364"/>
      <c r="F33" s="364"/>
      <c r="G33" s="364"/>
      <c r="H33" s="364"/>
      <c r="I33" s="304" t="s">
        <v>96</v>
      </c>
      <c r="J33" s="308" t="s">
        <v>97</v>
      </c>
    </row>
    <row r="34" spans="2:10" ht="21" customHeight="1" thickTop="1">
      <c r="B34" s="547" t="str">
        <f>IF('KEY INPUTS'!C42 = "State Fiscal Year", 'KEY INPUTS'!F25,'KEY INPUTS'!D25)</f>
        <v>Balance - January 1, 2024</v>
      </c>
      <c r="C34" s="313"/>
      <c r="D34" s="313"/>
      <c r="E34" s="313"/>
      <c r="F34" s="313"/>
      <c r="G34" s="313"/>
      <c r="H34" s="313"/>
      <c r="I34" s="801" t="s">
        <v>627</v>
      </c>
      <c r="J34" s="485"/>
    </row>
    <row r="35" spans="2:10" ht="21" customHeight="1">
      <c r="B35" s="248" t="s">
        <v>155</v>
      </c>
      <c r="C35" s="248"/>
      <c r="D35" s="248"/>
      <c r="E35" s="248"/>
      <c r="F35" s="248"/>
      <c r="G35" s="248"/>
      <c r="H35" s="248"/>
      <c r="I35" s="804" t="s">
        <v>627</v>
      </c>
      <c r="J35" s="429"/>
    </row>
    <row r="36" spans="2:10" ht="21" customHeight="1">
      <c r="B36" s="248" t="s">
        <v>156</v>
      </c>
      <c r="C36" s="248"/>
      <c r="D36" s="248"/>
      <c r="E36" s="248"/>
      <c r="F36" s="248"/>
      <c r="G36" s="248"/>
      <c r="H36" s="248"/>
      <c r="I36" s="804" t="s">
        <v>627</v>
      </c>
      <c r="J36" s="429"/>
    </row>
    <row r="37" spans="2:10" ht="21" customHeight="1">
      <c r="B37" s="495" t="s">
        <v>3212</v>
      </c>
      <c r="C37" s="495"/>
      <c r="D37" s="495"/>
      <c r="E37" s="495"/>
      <c r="F37" s="495"/>
      <c r="G37" s="495"/>
      <c r="H37" s="495"/>
      <c r="I37" s="629"/>
      <c r="J37" s="429"/>
    </row>
    <row r="38" spans="2:10" ht="21" customHeight="1">
      <c r="B38" s="495"/>
      <c r="C38" s="495"/>
      <c r="D38" s="495"/>
      <c r="E38" s="495"/>
      <c r="F38" s="495"/>
      <c r="G38" s="495"/>
      <c r="H38" s="495"/>
      <c r="I38" s="291"/>
      <c r="J38" s="429"/>
    </row>
    <row r="39" spans="2:10" ht="21" customHeight="1">
      <c r="B39" s="495"/>
      <c r="C39" s="495"/>
      <c r="D39" s="495"/>
      <c r="E39" s="495"/>
      <c r="F39" s="495"/>
      <c r="G39" s="495"/>
      <c r="H39" s="495"/>
      <c r="I39" s="291"/>
      <c r="J39" s="429"/>
    </row>
    <row r="40" spans="2:10" ht="21" customHeight="1">
      <c r="B40" s="248" t="s">
        <v>3174</v>
      </c>
      <c r="C40" s="248"/>
      <c r="D40" s="248"/>
      <c r="E40" s="248"/>
      <c r="F40" s="248"/>
      <c r="G40" s="248"/>
      <c r="H40" s="248"/>
      <c r="I40" s="291"/>
      <c r="J40" s="885" t="s">
        <v>627</v>
      </c>
    </row>
    <row r="41" spans="2:10" ht="21" customHeight="1">
      <c r="B41" s="248" t="str">
        <f>"Appropriation to "&amp;IF('KEY INPUTS'!C42="State Fiscal Year","Fiscal Year "&amp;'KEY INPUTS'!D33&amp;"",'KEY INPUTS'!D34+1)&amp;" Budget Reserve"</f>
        <v>Appropriation to 2025 Budget Reserve</v>
      </c>
      <c r="C41" s="248"/>
      <c r="D41" s="248"/>
      <c r="E41" s="248"/>
      <c r="F41" s="248"/>
      <c r="G41" s="414"/>
      <c r="H41" s="248"/>
      <c r="I41" s="426"/>
      <c r="J41" s="885" t="s">
        <v>627</v>
      </c>
    </row>
    <row r="42" spans="2:10" ht="21" customHeight="1">
      <c r="B42" s="248" t="str">
        <f>IF('KEY INPUTS'!C42 = "State Fiscal Year", 'KEY INPUTS'!F26,'KEY INPUTS'!D26)</f>
        <v>Balance - December 31, 2024</v>
      </c>
      <c r="C42" s="248"/>
      <c r="D42" s="248"/>
      <c r="E42" s="248"/>
      <c r="F42" s="248"/>
      <c r="G42" s="248"/>
      <c r="H42" s="248"/>
      <c r="I42" s="629">
        <f>SUM(J34:J39)-SUM(I37:I41)</f>
        <v>0</v>
      </c>
      <c r="J42" s="885" t="s">
        <v>627</v>
      </c>
    </row>
    <row r="43" spans="2:10" ht="21" customHeight="1" thickBot="1">
      <c r="I43" s="770">
        <f>SUM(I34:I42)</f>
        <v>0</v>
      </c>
      <c r="J43" s="918">
        <f>SUM(J34:J42)</f>
        <v>0</v>
      </c>
    </row>
    <row r="44" spans="2:10" ht="21" customHeight="1" thickTop="1"/>
    <row r="45" spans="2:10" ht="21" customHeight="1"/>
    <row r="46" spans="2:10" ht="21" customHeight="1"/>
    <row r="47" spans="2:10" ht="21" customHeight="1"/>
    <row r="48" spans="2:10" ht="21" customHeight="1"/>
    <row r="49" spans="2:10" ht="21" customHeight="1"/>
    <row r="52" spans="2:10" ht="13.8">
      <c r="B52" s="1353" t="s">
        <v>3173</v>
      </c>
      <c r="C52" s="1353"/>
      <c r="D52" s="1353"/>
      <c r="E52" s="1353"/>
      <c r="F52" s="1353"/>
      <c r="G52" s="1353"/>
      <c r="H52" s="1353"/>
      <c r="I52" s="1353"/>
      <c r="J52" s="1353"/>
    </row>
  </sheetData>
  <sheetProtection algorithmName="SHA-512" hashValue="SVojEU/y/oKrZs/GZVG8aVS7lICbqJT3EHNSFDePfuCEiLkSb90DOLQ6W3NCk05RIVz3lFydNg3oHTIbcobFrA==" saltValue="yRpzZElwyjF88Riys/0xIw==" spinCount="100000"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3279E-CC97-4B1D-9274-4009532EFF1C}">
  <sheetPr codeName="Sheet270">
    <tabColor theme="3" tint="0.79998168889431442"/>
  </sheetPr>
  <dimension ref="B2:R57"/>
  <sheetViews>
    <sheetView zoomScaleNormal="100" zoomScaleSheetLayoutView="80" workbookViewId="0">
      <selection activeCell="M33" sqref="M33"/>
    </sheetView>
  </sheetViews>
  <sheetFormatPr defaultColWidth="8.88671875" defaultRowHeight="13.2"/>
  <cols>
    <col min="1" max="1" width="4.6640625" style="267" customWidth="1"/>
    <col min="2" max="2" width="4.88671875" style="267" customWidth="1"/>
    <col min="3" max="4" width="4.6640625" style="267" customWidth="1"/>
    <col min="5" max="5" width="30.6640625" style="267" customWidth="1"/>
    <col min="6" max="6" width="15.6640625" style="267" customWidth="1"/>
    <col min="7" max="8" width="16.6640625" style="267" customWidth="1"/>
    <col min="9" max="9" width="3.6640625" style="267" bestFit="1" customWidth="1"/>
    <col min="10" max="10" width="13.5546875" style="267" bestFit="1" customWidth="1"/>
    <col min="11" max="16384" width="8.88671875" style="267"/>
  </cols>
  <sheetData>
    <row r="2" spans="2:18">
      <c r="B2" s="1357" t="s">
        <v>35</v>
      </c>
      <c r="C2" s="1357"/>
      <c r="D2" s="1357"/>
      <c r="E2" s="1357"/>
      <c r="F2" s="1357"/>
      <c r="G2" s="1357"/>
      <c r="H2" s="1357"/>
    </row>
    <row r="3" spans="2:18">
      <c r="B3" s="1357" t="s">
        <v>449</v>
      </c>
      <c r="C3" s="1357"/>
      <c r="D3" s="1357"/>
      <c r="E3" s="1357"/>
      <c r="F3" s="1357"/>
      <c r="G3" s="1357"/>
      <c r="H3" s="1357"/>
    </row>
    <row r="5" spans="2:18" ht="22.8">
      <c r="B5" s="1358" t="s">
        <v>424</v>
      </c>
      <c r="C5" s="1358"/>
      <c r="D5" s="1358"/>
      <c r="E5" s="1358"/>
      <c r="F5" s="1358"/>
      <c r="G5" s="1358"/>
      <c r="H5" s="1358"/>
    </row>
    <row r="6" spans="2:18" ht="22.8">
      <c r="B6" s="1358" t="str">
        <f>"TRIAL  BALANCE - "&amp;UPPER('KEY INPUTS'!D559)&amp;"  UTILITY  FUND"</f>
        <v>TRIAL  BALANCE -   UTILITY  FUND</v>
      </c>
      <c r="C6" s="1358"/>
      <c r="D6" s="1358"/>
      <c r="E6" s="1358"/>
      <c r="F6" s="1358"/>
      <c r="G6" s="1358"/>
      <c r="H6" s="1358"/>
    </row>
    <row r="7" spans="2:18" ht="15.6">
      <c r="B7" s="1359" t="str">
        <f>IF('KEY INPUTS'!C42 = "State Fiscal Year", 'KEY INPUTS'!F45,'KEY INPUTS'!D45)</f>
        <v>AS  AT  DECEMBER  31, 2024</v>
      </c>
      <c r="C7" s="1360"/>
      <c r="D7" s="1360"/>
      <c r="E7" s="1360"/>
      <c r="F7" s="1360"/>
      <c r="G7" s="1360"/>
      <c r="H7" s="1360"/>
    </row>
    <row r="8" spans="2:18" ht="15.6">
      <c r="B8" s="1354" t="s">
        <v>450</v>
      </c>
      <c r="C8" s="1354"/>
      <c r="D8" s="1354"/>
      <c r="E8" s="1354"/>
      <c r="F8" s="1354"/>
      <c r="G8" s="1354"/>
      <c r="H8" s="1354"/>
    </row>
    <row r="9" spans="2:18">
      <c r="B9" s="1355" t="s">
        <v>70</v>
      </c>
      <c r="C9" s="1355"/>
      <c r="D9" s="1355"/>
      <c r="E9" s="1355"/>
      <c r="F9" s="1355"/>
      <c r="G9" s="1355"/>
      <c r="H9" s="1355"/>
    </row>
    <row r="10" spans="2:18" ht="15" customHeight="1" thickBot="1">
      <c r="B10" s="1356" t="s">
        <v>71</v>
      </c>
      <c r="C10" s="1356"/>
      <c r="D10" s="1356"/>
      <c r="E10" s="1356"/>
      <c r="F10" s="1356"/>
      <c r="G10" s="1356"/>
      <c r="H10" s="1356"/>
    </row>
    <row r="11" spans="2:18" ht="36" customHeight="1" thickTop="1" thickBot="1">
      <c r="B11" s="1350" t="s">
        <v>95</v>
      </c>
      <c r="C11" s="1350"/>
      <c r="D11" s="1350"/>
      <c r="E11" s="1350"/>
      <c r="F11" s="1351"/>
      <c r="G11" s="304" t="s">
        <v>96</v>
      </c>
      <c r="H11" s="308" t="s">
        <v>97</v>
      </c>
      <c r="L11"/>
      <c r="M11"/>
      <c r="N11"/>
      <c r="O11"/>
      <c r="P11"/>
      <c r="Q11"/>
      <c r="R11"/>
    </row>
    <row r="12" spans="2:18" ht="21" customHeight="1" thickTop="1">
      <c r="G12" s="775"/>
      <c r="H12" s="776"/>
      <c r="L12"/>
      <c r="M12"/>
      <c r="N12"/>
      <c r="O12"/>
      <c r="P12"/>
      <c r="Q12"/>
      <c r="R12"/>
    </row>
    <row r="13" spans="2:18" ht="21" customHeight="1">
      <c r="B13" s="248" t="s">
        <v>194</v>
      </c>
      <c r="C13" s="248"/>
      <c r="D13" s="248"/>
      <c r="E13" s="248"/>
      <c r="F13" s="248"/>
      <c r="G13" s="450"/>
      <c r="H13" s="457"/>
      <c r="J13" s="573"/>
      <c r="L13" s="294"/>
      <c r="M13"/>
      <c r="N13"/>
      <c r="O13"/>
      <c r="P13"/>
      <c r="Q13"/>
      <c r="R13"/>
    </row>
    <row r="14" spans="2:18" ht="21" customHeight="1">
      <c r="B14" s="495" t="s">
        <v>315</v>
      </c>
      <c r="C14" s="495"/>
      <c r="D14" s="495"/>
      <c r="E14" s="495"/>
      <c r="F14" s="499"/>
      <c r="G14" s="450"/>
      <c r="H14" s="457"/>
      <c r="J14" s="573"/>
      <c r="L14"/>
      <c r="M14"/>
      <c r="N14"/>
      <c r="O14"/>
      <c r="P14"/>
      <c r="Q14"/>
      <c r="R14"/>
    </row>
    <row r="15" spans="2:18" ht="21" customHeight="1">
      <c r="B15" s="496"/>
      <c r="C15" s="496"/>
      <c r="D15" s="496"/>
      <c r="E15" s="496"/>
      <c r="F15" s="496"/>
      <c r="G15" s="450"/>
      <c r="H15" s="457"/>
      <c r="L15"/>
      <c r="M15"/>
      <c r="N15"/>
      <c r="O15"/>
      <c r="P15"/>
      <c r="Q15"/>
      <c r="R15"/>
    </row>
    <row r="16" spans="2:18" ht="21" customHeight="1">
      <c r="B16" s="495" t="s">
        <v>3213</v>
      </c>
      <c r="C16" s="495"/>
      <c r="D16" s="495"/>
      <c r="E16" s="495"/>
      <c r="F16" s="495"/>
      <c r="G16" s="772"/>
      <c r="H16" s="772"/>
      <c r="L16"/>
      <c r="M16"/>
      <c r="N16"/>
      <c r="O16"/>
      <c r="P16"/>
      <c r="Q16"/>
      <c r="R16"/>
    </row>
    <row r="17" spans="2:18" ht="21" customHeight="1">
      <c r="B17" s="495" t="s">
        <v>3213</v>
      </c>
      <c r="C17" s="495"/>
      <c r="D17" s="495"/>
      <c r="E17" s="495"/>
      <c r="F17" s="495"/>
      <c r="G17" s="772"/>
      <c r="H17" s="772"/>
      <c r="L17"/>
      <c r="M17"/>
      <c r="N17"/>
      <c r="O17"/>
      <c r="P17"/>
      <c r="Q17"/>
      <c r="R17"/>
    </row>
    <row r="18" spans="2:18" ht="21" customHeight="1">
      <c r="B18" s="495"/>
      <c r="C18" s="495"/>
      <c r="D18" s="495"/>
      <c r="E18" s="495"/>
      <c r="F18" s="495"/>
      <c r="G18" s="772"/>
      <c r="H18" s="772"/>
      <c r="L18"/>
      <c r="M18"/>
      <c r="N18"/>
      <c r="O18"/>
      <c r="P18"/>
      <c r="Q18"/>
      <c r="R18"/>
    </row>
    <row r="19" spans="2:18" ht="21" customHeight="1">
      <c r="B19" s="385" t="s">
        <v>3202</v>
      </c>
      <c r="G19" s="777"/>
      <c r="H19" s="376"/>
      <c r="L19"/>
      <c r="M19"/>
      <c r="N19"/>
      <c r="O19"/>
      <c r="P19"/>
      <c r="Q19"/>
      <c r="R19"/>
    </row>
    <row r="20" spans="2:18" ht="21" customHeight="1">
      <c r="B20" s="248" t="s">
        <v>3203</v>
      </c>
      <c r="C20" s="248"/>
      <c r="D20" s="248"/>
      <c r="E20" s="248"/>
      <c r="F20" s="248"/>
      <c r="G20" s="778">
        <f>+'47-Utility6'!L24</f>
        <v>0</v>
      </c>
      <c r="H20" s="779"/>
      <c r="L20"/>
      <c r="M20"/>
      <c r="N20"/>
      <c r="O20"/>
      <c r="P20"/>
      <c r="Q20"/>
      <c r="R20"/>
    </row>
    <row r="21" spans="2:18" ht="21" customHeight="1">
      <c r="B21" s="248" t="s">
        <v>3204</v>
      </c>
      <c r="C21" s="248"/>
      <c r="D21" s="248"/>
      <c r="E21" s="248"/>
      <c r="F21" s="248"/>
      <c r="G21" s="533">
        <f>+'47-Utility6'!L54</f>
        <v>0</v>
      </c>
      <c r="L21"/>
      <c r="M21"/>
      <c r="N21"/>
      <c r="O21"/>
      <c r="P21"/>
      <c r="Q21"/>
      <c r="R21"/>
    </row>
    <row r="22" spans="2:18" ht="21" customHeight="1">
      <c r="B22" s="495"/>
      <c r="C22" s="495"/>
      <c r="D22" s="495"/>
      <c r="E22" s="495"/>
      <c r="F22" s="495"/>
      <c r="G22" s="450"/>
      <c r="H22" s="457"/>
      <c r="L22"/>
      <c r="M22"/>
      <c r="N22"/>
      <c r="O22"/>
      <c r="P22"/>
      <c r="Q22"/>
      <c r="R22"/>
    </row>
    <row r="23" spans="2:18" ht="21" customHeight="1">
      <c r="B23" s="495"/>
      <c r="C23" s="495"/>
      <c r="D23" s="495"/>
      <c r="E23" s="495"/>
      <c r="F23" s="495"/>
      <c r="G23" s="450"/>
      <c r="H23" s="457"/>
      <c r="J23" s="573"/>
      <c r="L23"/>
      <c r="M23"/>
      <c r="N23"/>
      <c r="O23"/>
      <c r="P23"/>
      <c r="Q23"/>
      <c r="R23"/>
    </row>
    <row r="24" spans="2:18" ht="21" customHeight="1">
      <c r="B24" s="495"/>
      <c r="C24" s="495"/>
      <c r="D24" s="495"/>
      <c r="E24" s="495"/>
      <c r="F24" s="495"/>
      <c r="G24" s="450"/>
      <c r="H24" s="457"/>
      <c r="J24" s="573"/>
      <c r="L24"/>
      <c r="M24"/>
      <c r="N24"/>
      <c r="O24"/>
      <c r="P24"/>
      <c r="Q24"/>
      <c r="R24"/>
    </row>
    <row r="25" spans="2:18" ht="21" customHeight="1">
      <c r="B25" s="495"/>
      <c r="C25" s="495"/>
      <c r="D25" s="495"/>
      <c r="E25" s="495"/>
      <c r="F25" s="495"/>
      <c r="G25" s="450"/>
      <c r="H25" s="457"/>
      <c r="L25"/>
      <c r="M25"/>
      <c r="N25"/>
      <c r="O25"/>
      <c r="P25"/>
      <c r="Q25"/>
      <c r="R25"/>
    </row>
    <row r="26" spans="2:18" ht="21" customHeight="1">
      <c r="B26" s="248" t="s">
        <v>3205</v>
      </c>
      <c r="C26" s="248"/>
      <c r="D26" s="248"/>
      <c r="E26" s="248"/>
      <c r="F26" s="248"/>
      <c r="G26" s="533"/>
      <c r="H26" s="780"/>
      <c r="L26"/>
      <c r="M26"/>
      <c r="N26"/>
      <c r="O26"/>
      <c r="P26"/>
      <c r="Q26"/>
      <c r="R26"/>
    </row>
    <row r="27" spans="2:18" ht="21" customHeight="1">
      <c r="B27" s="495"/>
      <c r="C27" s="495"/>
      <c r="D27" s="495"/>
      <c r="E27" s="495"/>
      <c r="F27" s="495"/>
      <c r="G27" s="450"/>
      <c r="H27" s="457"/>
      <c r="L27"/>
      <c r="M27"/>
      <c r="N27"/>
      <c r="O27"/>
      <c r="P27"/>
      <c r="Q27"/>
      <c r="R27"/>
    </row>
    <row r="28" spans="2:18" ht="21" customHeight="1">
      <c r="B28" s="495"/>
      <c r="C28" s="495"/>
      <c r="D28" s="495"/>
      <c r="E28" s="495"/>
      <c r="F28" s="495"/>
      <c r="G28" s="450"/>
      <c r="H28" s="457"/>
    </row>
    <row r="29" spans="2:18" ht="21" customHeight="1">
      <c r="B29" s="495"/>
      <c r="C29" s="495"/>
      <c r="D29" s="495"/>
      <c r="E29" s="495"/>
      <c r="F29" s="495"/>
      <c r="G29" s="450"/>
      <c r="H29" s="457"/>
    </row>
    <row r="30" spans="2:18" ht="21" customHeight="1">
      <c r="B30" s="307" t="s">
        <v>3206</v>
      </c>
      <c r="C30" s="248"/>
      <c r="D30" s="248"/>
      <c r="E30" s="248"/>
      <c r="F30" s="248"/>
      <c r="G30" s="533"/>
      <c r="H30" s="780"/>
    </row>
    <row r="31" spans="2:18" ht="21" customHeight="1">
      <c r="B31" s="248" t="s">
        <v>3135</v>
      </c>
      <c r="C31" s="248"/>
      <c r="D31" s="248"/>
      <c r="E31" s="248"/>
      <c r="F31" s="248"/>
      <c r="G31" s="450"/>
      <c r="H31" s="780">
        <f>+'44-Utility6'!I37</f>
        <v>0</v>
      </c>
      <c r="J31" s="573"/>
    </row>
    <row r="32" spans="2:18" ht="21" customHeight="1">
      <c r="B32" s="248" t="s">
        <v>3134</v>
      </c>
      <c r="C32" s="248"/>
      <c r="D32" s="248"/>
      <c r="E32" s="248"/>
      <c r="F32" s="248"/>
      <c r="G32" s="450"/>
      <c r="H32" s="457"/>
    </row>
    <row r="33" spans="2:18" ht="21" customHeight="1">
      <c r="B33" s="248" t="s">
        <v>3133</v>
      </c>
      <c r="C33" s="248"/>
      <c r="D33" s="248"/>
      <c r="E33" s="248"/>
      <c r="F33" s="248"/>
      <c r="G33" s="450"/>
      <c r="H33" s="781">
        <f>+'49-Utility6'!I29+'49a-Utility6'!I29+'50.1-Utility6'!M24+'49a.1-Utility6'!I29</f>
        <v>0</v>
      </c>
      <c r="J33" s="573"/>
    </row>
    <row r="34" spans="2:18" ht="21" customHeight="1">
      <c r="B34" s="495" t="s">
        <v>3214</v>
      </c>
      <c r="C34" s="495"/>
      <c r="D34" s="495"/>
      <c r="E34" s="495"/>
      <c r="F34" s="499"/>
      <c r="G34" s="450"/>
      <c r="H34" s="457"/>
    </row>
    <row r="35" spans="2:18" ht="21" customHeight="1">
      <c r="B35" s="495"/>
      <c r="C35" s="495"/>
      <c r="D35" s="495"/>
      <c r="E35" s="495"/>
      <c r="F35" s="495"/>
      <c r="G35" s="450"/>
      <c r="H35" s="457"/>
      <c r="L35"/>
      <c r="M35"/>
      <c r="N35"/>
      <c r="O35"/>
      <c r="P35"/>
      <c r="Q35"/>
      <c r="R35"/>
    </row>
    <row r="36" spans="2:18" ht="21" customHeight="1">
      <c r="B36" s="495"/>
      <c r="C36" s="495"/>
      <c r="D36" s="495"/>
      <c r="E36" s="495"/>
      <c r="F36" s="495"/>
      <c r="G36" s="450"/>
      <c r="H36" s="457"/>
      <c r="J36" s="573"/>
      <c r="L36"/>
      <c r="M36"/>
      <c r="N36"/>
      <c r="O36"/>
      <c r="P36"/>
      <c r="Q36"/>
      <c r="R36"/>
    </row>
    <row r="37" spans="2:18" ht="21" customHeight="1">
      <c r="B37" s="495"/>
      <c r="C37" s="495"/>
      <c r="D37" s="495"/>
      <c r="E37" s="495"/>
      <c r="F37" s="495"/>
      <c r="G37" s="450"/>
      <c r="H37" s="457"/>
      <c r="J37" s="573"/>
      <c r="L37"/>
      <c r="M37"/>
      <c r="N37"/>
      <c r="O37"/>
      <c r="P37"/>
      <c r="Q37"/>
      <c r="R37"/>
    </row>
    <row r="38" spans="2:18" ht="21" customHeight="1" thickBot="1">
      <c r="B38" s="495"/>
      <c r="C38" s="495"/>
      <c r="D38" s="495"/>
      <c r="E38" s="495"/>
      <c r="F38" s="495"/>
      <c r="G38" s="450"/>
      <c r="H38" s="481"/>
      <c r="L38"/>
      <c r="M38"/>
      <c r="N38"/>
      <c r="O38"/>
      <c r="P38"/>
      <c r="Q38"/>
      <c r="R38"/>
    </row>
    <row r="39" spans="2:18" ht="21" customHeight="1" thickTop="1">
      <c r="B39" s="248"/>
      <c r="C39" s="248" t="s">
        <v>3132</v>
      </c>
      <c r="D39" s="248"/>
      <c r="E39" s="248"/>
      <c r="F39" s="871"/>
      <c r="G39" s="872"/>
      <c r="H39" s="782">
        <f>SUM(H30:H38)</f>
        <v>0</v>
      </c>
      <c r="I39" s="267" t="s">
        <v>795</v>
      </c>
    </row>
    <row r="40" spans="2:18" ht="21" customHeight="1">
      <c r="B40" s="333" t="s">
        <v>3215</v>
      </c>
      <c r="C40" s="333"/>
      <c r="D40" s="333"/>
      <c r="E40" s="333"/>
      <c r="F40" s="333"/>
      <c r="G40" s="779"/>
      <c r="H40" s="772"/>
    </row>
    <row r="41" spans="2:18" ht="21" customHeight="1">
      <c r="B41" s="495"/>
      <c r="C41" s="495"/>
      <c r="D41" s="495"/>
      <c r="E41" s="495"/>
      <c r="F41" s="495"/>
      <c r="G41" s="450"/>
      <c r="H41" s="457"/>
    </row>
    <row r="42" spans="2:18" ht="21" customHeight="1">
      <c r="B42" s="248" t="s">
        <v>617</v>
      </c>
      <c r="C42" s="248"/>
      <c r="D42" s="248"/>
      <c r="E42" s="248"/>
      <c r="F42" s="248"/>
      <c r="G42" s="533"/>
      <c r="H42" s="780">
        <f>+'46-Utility6'!K27</f>
        <v>0</v>
      </c>
    </row>
    <row r="43" spans="2:18" ht="21" customHeight="1" thickBot="1">
      <c r="B43" s="248"/>
      <c r="C43" s="248"/>
      <c r="D43" s="248"/>
      <c r="E43" s="248"/>
      <c r="F43" s="248"/>
      <c r="G43" s="783"/>
      <c r="H43" s="784"/>
    </row>
    <row r="44" spans="2:18" ht="21" customHeight="1" thickBot="1">
      <c r="B44" s="248" t="s">
        <v>3216</v>
      </c>
      <c r="C44" s="248"/>
      <c r="D44" s="248"/>
      <c r="E44" s="248"/>
      <c r="F44" s="248"/>
      <c r="G44" s="785">
        <f>SUM(G12:G43)</f>
        <v>0</v>
      </c>
      <c r="H44" s="786">
        <f>SUM(H39:H43)</f>
        <v>0</v>
      </c>
      <c r="J44" s="301">
        <f>G44-H44</f>
        <v>0</v>
      </c>
    </row>
    <row r="45" spans="2:18" ht="13.8" thickTop="1">
      <c r="B45" s="1352" t="s">
        <v>98</v>
      </c>
      <c r="C45" s="1352"/>
      <c r="D45" s="1352"/>
      <c r="E45" s="1352"/>
      <c r="F45" s="1352"/>
      <c r="G45" s="1352"/>
      <c r="H45" s="1352"/>
    </row>
    <row r="46" spans="2:18">
      <c r="B46" s="302"/>
      <c r="C46" s="302"/>
      <c r="D46" s="302"/>
      <c r="E46" s="302"/>
      <c r="F46" s="302"/>
      <c r="G46" s="302"/>
      <c r="H46" s="302"/>
    </row>
    <row r="47" spans="2:18">
      <c r="B47" s="302"/>
      <c r="C47" s="302"/>
      <c r="D47" s="302"/>
      <c r="E47" s="302"/>
      <c r="F47" s="302"/>
      <c r="G47" s="302"/>
      <c r="H47" s="302"/>
    </row>
    <row r="48" spans="2:18">
      <c r="B48" s="302"/>
      <c r="C48" s="302"/>
      <c r="D48" s="302"/>
      <c r="E48" s="302"/>
      <c r="F48" s="302"/>
      <c r="G48" s="302"/>
      <c r="H48" s="302"/>
    </row>
    <row r="49" spans="2:8">
      <c r="B49" s="302"/>
      <c r="C49" s="302"/>
      <c r="D49" s="302"/>
      <c r="E49" s="302"/>
      <c r="F49" s="302"/>
      <c r="G49" s="302"/>
      <c r="H49" s="302"/>
    </row>
    <row r="50" spans="2:8" ht="13.8">
      <c r="B50" s="1353" t="s">
        <v>3130</v>
      </c>
      <c r="C50" s="1353"/>
      <c r="D50" s="1353"/>
      <c r="E50" s="1353"/>
      <c r="F50" s="1353"/>
      <c r="G50" s="1353"/>
      <c r="H50" s="1353"/>
    </row>
    <row r="54" spans="2:8">
      <c r="H54" s="301"/>
    </row>
    <row r="57" spans="2:8">
      <c r="H57" s="301">
        <f>+H44-G44</f>
        <v>0</v>
      </c>
    </row>
  </sheetData>
  <sheetProtection algorithmName="SHA-512" hashValue="uy05NuF9l/NfrAc/AXH4MyYBqihUaWFL6v6d4eZXrzWPwySrT9gg4aYCJRTBAxa3pGScFNGAGmDJuc/ijw92Bw==" saltValue="/IVoc6F1F/2LJsLcLG2Adg=="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5CA2A-DAFA-4294-9CB2-72AA3038F0C7}">
  <sheetPr codeName="Sheet271">
    <tabColor theme="3" tint="0.79998168889431442"/>
  </sheetPr>
  <dimension ref="B2:Q55"/>
  <sheetViews>
    <sheetView topLeftCell="A10" zoomScaleNormal="100" zoomScaleSheetLayoutView="80" workbookViewId="0">
      <selection activeCell="B8" sqref="B8:H8"/>
    </sheetView>
  </sheetViews>
  <sheetFormatPr defaultColWidth="8.88671875" defaultRowHeight="13.2"/>
  <cols>
    <col min="1" max="1" width="4.6640625" style="267" customWidth="1"/>
    <col min="2" max="2" width="4.88671875" style="267" customWidth="1"/>
    <col min="3" max="4" width="4.6640625" style="267" customWidth="1"/>
    <col min="5" max="5" width="34.33203125" style="267" customWidth="1"/>
    <col min="6" max="6" width="15.6640625" style="267" customWidth="1"/>
    <col min="7" max="8" width="16.6640625" style="267" customWidth="1"/>
    <col min="9" max="9" width="10.88671875" style="267" bestFit="1" customWidth="1"/>
    <col min="10" max="10" width="8.88671875" style="267"/>
    <col min="11" max="11" width="10.33203125" style="267" bestFit="1" customWidth="1"/>
    <col min="12" max="12" width="8.88671875" style="267"/>
    <col min="13" max="13" width="13.88671875" style="267" bestFit="1" customWidth="1"/>
    <col min="14" max="16384" width="8.88671875" style="267"/>
  </cols>
  <sheetData>
    <row r="2" spans="2:17">
      <c r="B2" s="1357" t="s">
        <v>35</v>
      </c>
      <c r="C2" s="1357"/>
      <c r="D2" s="1357"/>
      <c r="E2" s="1357"/>
      <c r="F2" s="1357"/>
      <c r="G2" s="1357"/>
      <c r="H2" s="1357"/>
    </row>
    <row r="3" spans="2:17">
      <c r="B3" s="1357" t="s">
        <v>449</v>
      </c>
      <c r="C3" s="1357"/>
      <c r="D3" s="1357"/>
      <c r="E3" s="1357"/>
      <c r="F3" s="1357"/>
      <c r="G3" s="1357"/>
      <c r="H3" s="1357"/>
    </row>
    <row r="5" spans="2:17" ht="22.8">
      <c r="B5" s="1358" t="s">
        <v>424</v>
      </c>
      <c r="C5" s="1358"/>
      <c r="D5" s="1358"/>
      <c r="E5" s="1358"/>
      <c r="F5" s="1358"/>
      <c r="G5" s="1358"/>
      <c r="H5" s="1358"/>
    </row>
    <row r="6" spans="2:17" ht="22.8">
      <c r="B6" s="1358" t="str">
        <f>"TRIAL  BALANCE - "&amp;UPPER('KEY INPUTS'!D59)&amp;"  UTILITY  FUND (cont'd)"</f>
        <v>TRIAL  BALANCE -   UTILITY  FUND (cont'd)</v>
      </c>
      <c r="C6" s="1358"/>
      <c r="D6" s="1358"/>
      <c r="E6" s="1358"/>
      <c r="F6" s="1358"/>
      <c r="G6" s="1358"/>
      <c r="H6" s="1358"/>
    </row>
    <row r="7" spans="2:17" ht="15.6">
      <c r="B7" s="1359" t="str">
        <f>IF('KEY INPUTS'!C42 = "State Fiscal Year", 'KEY INPUTS'!F45,'KEY INPUTS'!D45)</f>
        <v>AS  AT  DECEMBER  31, 2024</v>
      </c>
      <c r="C7" s="1360"/>
      <c r="D7" s="1360"/>
      <c r="E7" s="1360"/>
      <c r="F7" s="1360"/>
      <c r="G7" s="1360"/>
      <c r="H7" s="1360"/>
    </row>
    <row r="8" spans="2:17" ht="15.6">
      <c r="B8" s="1354" t="s">
        <v>450</v>
      </c>
      <c r="C8" s="1354"/>
      <c r="D8" s="1354"/>
      <c r="E8" s="1354"/>
      <c r="F8" s="1354"/>
      <c r="G8" s="1354"/>
      <c r="H8" s="1354"/>
    </row>
    <row r="9" spans="2:17">
      <c r="B9" s="1355" t="s">
        <v>70</v>
      </c>
      <c r="C9" s="1355"/>
      <c r="D9" s="1355"/>
      <c r="E9" s="1355"/>
      <c r="F9" s="1355"/>
      <c r="G9" s="1355"/>
      <c r="H9" s="1355"/>
    </row>
    <row r="10" spans="2:17" ht="15" customHeight="1" thickBot="1">
      <c r="B10" s="1356" t="s">
        <v>71</v>
      </c>
      <c r="C10" s="1356"/>
      <c r="D10" s="1356"/>
      <c r="E10" s="1356"/>
      <c r="F10" s="1356"/>
      <c r="G10" s="1356"/>
      <c r="H10" s="1356"/>
    </row>
    <row r="11" spans="2:17" ht="36" customHeight="1" thickTop="1" thickBot="1">
      <c r="B11" s="1350" t="s">
        <v>95</v>
      </c>
      <c r="C11" s="1350"/>
      <c r="D11" s="1350"/>
      <c r="E11" s="1350"/>
      <c r="F11" s="1351"/>
      <c r="G11" s="304" t="s">
        <v>96</v>
      </c>
      <c r="H11" s="308" t="s">
        <v>97</v>
      </c>
    </row>
    <row r="12" spans="2:17" ht="21" customHeight="1" thickTop="1">
      <c r="G12" s="775"/>
      <c r="H12" s="776"/>
    </row>
    <row r="13" spans="2:17" ht="21" customHeight="1">
      <c r="B13" s="307" t="s">
        <v>642</v>
      </c>
      <c r="C13" s="248"/>
      <c r="D13" s="248"/>
      <c r="E13" s="248"/>
      <c r="F13" s="248"/>
      <c r="G13" s="533"/>
      <c r="H13" s="780"/>
      <c r="K13"/>
      <c r="L13"/>
      <c r="M13"/>
      <c r="N13"/>
      <c r="O13"/>
      <c r="P13"/>
      <c r="Q13"/>
    </row>
    <row r="14" spans="2:17" ht="21" customHeight="1">
      <c r="B14" s="248"/>
      <c r="C14" s="248"/>
      <c r="D14" s="248"/>
      <c r="E14" s="248"/>
      <c r="F14" s="248"/>
      <c r="G14" s="533"/>
      <c r="H14" s="780"/>
      <c r="K14"/>
      <c r="L14"/>
      <c r="M14"/>
      <c r="N14"/>
      <c r="O14"/>
      <c r="P14"/>
      <c r="Q14"/>
    </row>
    <row r="15" spans="2:17" ht="21" customHeight="1">
      <c r="B15" s="267" t="s">
        <v>192</v>
      </c>
      <c r="C15" s="248"/>
      <c r="D15" s="248"/>
      <c r="E15" s="248"/>
      <c r="F15" s="248"/>
      <c r="G15" s="289"/>
      <c r="H15" s="885" t="s">
        <v>627</v>
      </c>
      <c r="K15" s="294"/>
      <c r="L15"/>
      <c r="M15"/>
      <c r="N15"/>
      <c r="O15"/>
      <c r="P15"/>
      <c r="Q15"/>
    </row>
    <row r="16" spans="2:17" ht="21" customHeight="1">
      <c r="B16" s="248" t="s">
        <v>193</v>
      </c>
      <c r="C16" s="248"/>
      <c r="D16" s="248"/>
      <c r="E16" s="248"/>
      <c r="F16" s="248"/>
      <c r="G16" s="804" t="s">
        <v>627</v>
      </c>
      <c r="H16" s="668">
        <f>+G15</f>
        <v>0</v>
      </c>
      <c r="K16"/>
      <c r="L16"/>
      <c r="M16"/>
      <c r="N16"/>
      <c r="O16"/>
      <c r="P16"/>
      <c r="Q16"/>
    </row>
    <row r="17" spans="2:17" ht="21" customHeight="1">
      <c r="B17" s="248"/>
      <c r="C17" s="248"/>
      <c r="D17" s="248"/>
      <c r="E17" s="248"/>
      <c r="F17" s="248"/>
      <c r="G17" s="663"/>
      <c r="H17" s="668"/>
      <c r="K17"/>
      <c r="L17"/>
      <c r="M17"/>
      <c r="N17"/>
      <c r="O17"/>
      <c r="P17"/>
      <c r="Q17"/>
    </row>
    <row r="18" spans="2:17" ht="21" customHeight="1">
      <c r="B18" s="248"/>
      <c r="C18" s="248" t="s">
        <v>351</v>
      </c>
      <c r="D18" s="248"/>
      <c r="E18" s="248"/>
      <c r="F18" s="248"/>
      <c r="G18" s="289"/>
      <c r="H18" s="419"/>
      <c r="K18"/>
      <c r="L18"/>
      <c r="M18"/>
      <c r="N18"/>
      <c r="O18"/>
      <c r="P18"/>
      <c r="Q18"/>
    </row>
    <row r="19" spans="2:17" ht="21" customHeight="1">
      <c r="B19" s="248"/>
      <c r="C19" s="495"/>
      <c r="D19" s="495"/>
      <c r="E19" s="495"/>
      <c r="F19" s="495"/>
      <c r="G19" s="289"/>
      <c r="H19" s="419"/>
      <c r="K19"/>
      <c r="L19"/>
      <c r="M19"/>
      <c r="N19"/>
      <c r="O19"/>
      <c r="P19"/>
      <c r="Q19"/>
    </row>
    <row r="20" spans="2:17" ht="21" customHeight="1">
      <c r="B20" s="248"/>
      <c r="C20" s="248" t="s">
        <v>888</v>
      </c>
      <c r="D20" s="248"/>
      <c r="E20" s="248"/>
      <c r="F20" s="248"/>
      <c r="G20" s="289"/>
      <c r="H20" s="419"/>
      <c r="K20"/>
      <c r="L20"/>
      <c r="M20"/>
      <c r="N20"/>
      <c r="O20"/>
      <c r="P20"/>
      <c r="Q20"/>
    </row>
    <row r="21" spans="2:17" ht="21" customHeight="1">
      <c r="B21" s="248"/>
      <c r="C21" s="248" t="s">
        <v>643</v>
      </c>
      <c r="D21" s="248"/>
      <c r="E21" s="248"/>
      <c r="F21" s="248"/>
      <c r="G21" s="663"/>
      <c r="H21" s="664"/>
      <c r="K21"/>
      <c r="L21"/>
      <c r="M21"/>
      <c r="N21"/>
      <c r="O21"/>
      <c r="P21"/>
      <c r="Q21"/>
    </row>
    <row r="22" spans="2:17" ht="21" customHeight="1">
      <c r="B22" s="248"/>
      <c r="C22" s="248"/>
      <c r="D22" s="248" t="s">
        <v>87</v>
      </c>
      <c r="E22" s="248"/>
      <c r="F22" s="248"/>
      <c r="G22" s="289"/>
      <c r="H22" s="419"/>
      <c r="K22"/>
      <c r="L22"/>
      <c r="M22"/>
      <c r="N22"/>
      <c r="O22"/>
      <c r="P22"/>
      <c r="Q22"/>
    </row>
    <row r="23" spans="2:17" ht="21" customHeight="1">
      <c r="B23" s="248"/>
      <c r="C23" s="248"/>
      <c r="D23" s="248" t="s">
        <v>671</v>
      </c>
      <c r="E23" s="248"/>
      <c r="F23" s="248"/>
      <c r="G23" s="289"/>
      <c r="H23" s="419"/>
      <c r="K23"/>
      <c r="L23"/>
      <c r="M23"/>
      <c r="N23"/>
      <c r="O23"/>
      <c r="P23"/>
      <c r="Q23"/>
    </row>
    <row r="24" spans="2:17" ht="21" customHeight="1">
      <c r="B24" s="248"/>
      <c r="C24" s="495"/>
      <c r="D24" s="495" t="s">
        <v>3131</v>
      </c>
      <c r="E24" s="495"/>
      <c r="F24" s="495"/>
      <c r="G24" s="289"/>
      <c r="H24" s="438"/>
      <c r="K24"/>
      <c r="L24"/>
      <c r="M24"/>
      <c r="N24"/>
      <c r="O24"/>
      <c r="P24"/>
      <c r="Q24"/>
    </row>
    <row r="25" spans="2:17" ht="21" customHeight="1">
      <c r="B25" s="248"/>
      <c r="C25" s="495"/>
      <c r="D25" s="495" t="s">
        <v>3131</v>
      </c>
      <c r="E25" s="495"/>
      <c r="F25" s="495"/>
      <c r="G25" s="289"/>
      <c r="H25" s="438" t="s">
        <v>3131</v>
      </c>
    </row>
    <row r="26" spans="2:17" ht="21" customHeight="1">
      <c r="B26" s="248"/>
      <c r="C26" s="496"/>
      <c r="D26" s="495"/>
      <c r="E26" s="495"/>
      <c r="F26" s="495"/>
      <c r="G26" s="289"/>
      <c r="H26" s="498"/>
    </row>
    <row r="27" spans="2:17" ht="21" customHeight="1">
      <c r="B27" s="248"/>
      <c r="C27" s="495" t="s">
        <v>3131</v>
      </c>
      <c r="D27" s="495"/>
      <c r="E27" s="495"/>
      <c r="F27" s="495"/>
      <c r="G27" s="289"/>
      <c r="H27" s="438" t="s">
        <v>3131</v>
      </c>
    </row>
    <row r="28" spans="2:17" ht="21" customHeight="1">
      <c r="B28" s="248"/>
      <c r="C28" s="495"/>
      <c r="D28" s="495"/>
      <c r="E28" s="495"/>
      <c r="F28" s="495"/>
      <c r="G28" s="289"/>
      <c r="H28" s="438"/>
    </row>
    <row r="29" spans="2:17" ht="21" customHeight="1">
      <c r="B29" s="248"/>
      <c r="C29" s="495"/>
      <c r="D29" s="495" t="s">
        <v>3131</v>
      </c>
      <c r="E29" s="495"/>
      <c r="F29" s="495"/>
      <c r="G29" s="289"/>
      <c r="H29" s="438"/>
      <c r="K29"/>
      <c r="L29"/>
      <c r="M29"/>
      <c r="N29"/>
      <c r="O29"/>
      <c r="P29"/>
      <c r="Q29"/>
    </row>
    <row r="30" spans="2:17" ht="21" customHeight="1">
      <c r="B30" s="248"/>
      <c r="C30" s="495"/>
      <c r="D30" s="495" t="s">
        <v>3131</v>
      </c>
      <c r="E30" s="495"/>
      <c r="F30" s="495"/>
      <c r="G30" s="289"/>
      <c r="H30" s="438"/>
      <c r="K30"/>
      <c r="L30"/>
      <c r="M30"/>
      <c r="N30"/>
      <c r="O30"/>
      <c r="P30"/>
      <c r="Q30"/>
    </row>
    <row r="31" spans="2:17" ht="21" customHeight="1">
      <c r="B31" s="248"/>
      <c r="C31" s="495"/>
      <c r="D31" s="495" t="s">
        <v>3131</v>
      </c>
      <c r="E31" s="495"/>
      <c r="F31" s="495"/>
      <c r="G31" s="289"/>
      <c r="H31" s="438" t="s">
        <v>3131</v>
      </c>
    </row>
    <row r="32" spans="2:17" ht="21" customHeight="1">
      <c r="B32" s="248"/>
      <c r="C32" s="496"/>
      <c r="D32" s="495"/>
      <c r="E32" s="495"/>
      <c r="F32" s="495"/>
      <c r="G32" s="289"/>
      <c r="H32" s="498"/>
    </row>
    <row r="33" spans="2:17" ht="21" customHeight="1">
      <c r="B33" s="248"/>
      <c r="C33" s="495" t="s">
        <v>3131</v>
      </c>
      <c r="D33" s="495"/>
      <c r="E33" s="495"/>
      <c r="F33" s="495"/>
      <c r="G33" s="289"/>
      <c r="H33" s="438" t="s">
        <v>3131</v>
      </c>
    </row>
    <row r="34" spans="2:17" ht="21" customHeight="1">
      <c r="B34" s="248"/>
      <c r="C34" s="495"/>
      <c r="D34" s="495"/>
      <c r="E34" s="495"/>
      <c r="F34" s="495"/>
      <c r="G34" s="289"/>
      <c r="H34" s="438"/>
    </row>
    <row r="35" spans="2:17" ht="21" customHeight="1">
      <c r="B35" s="248"/>
      <c r="C35" s="495"/>
      <c r="D35" s="495" t="s">
        <v>3131</v>
      </c>
      <c r="E35" s="495"/>
      <c r="F35" s="495"/>
      <c r="G35" s="289"/>
      <c r="H35" s="438"/>
      <c r="K35"/>
      <c r="L35"/>
      <c r="M35"/>
      <c r="N35"/>
      <c r="O35"/>
      <c r="P35"/>
      <c r="Q35"/>
    </row>
    <row r="36" spans="2:17" ht="21" customHeight="1">
      <c r="B36" s="248"/>
      <c r="C36" s="495"/>
      <c r="D36" s="495" t="s">
        <v>3131</v>
      </c>
      <c r="E36" s="495"/>
      <c r="F36" s="495"/>
      <c r="G36" s="289"/>
      <c r="H36" s="438" t="s">
        <v>3131</v>
      </c>
    </row>
    <row r="37" spans="2:17" ht="21" customHeight="1">
      <c r="B37" s="248"/>
      <c r="C37" s="496"/>
      <c r="D37" s="495"/>
      <c r="E37" s="495"/>
      <c r="F37" s="495"/>
      <c r="G37" s="289"/>
      <c r="H37" s="498"/>
    </row>
    <row r="38" spans="2:17" ht="21" customHeight="1">
      <c r="B38" s="248"/>
      <c r="C38" s="495" t="s">
        <v>3131</v>
      </c>
      <c r="D38" s="495"/>
      <c r="E38" s="495"/>
      <c r="F38" s="495"/>
      <c r="G38" s="289"/>
      <c r="H38" s="438" t="s">
        <v>3131</v>
      </c>
    </row>
    <row r="39" spans="2:17" ht="21" customHeight="1">
      <c r="B39" s="248"/>
      <c r="C39" s="495"/>
      <c r="D39" s="495"/>
      <c r="E39" s="495"/>
      <c r="F39" s="495"/>
      <c r="G39" s="289"/>
      <c r="H39" s="438"/>
    </row>
    <row r="40" spans="2:17" ht="21" customHeight="1">
      <c r="B40" s="248"/>
      <c r="C40" s="495"/>
      <c r="D40" s="495"/>
      <c r="E40" s="495"/>
      <c r="F40" s="495"/>
      <c r="G40" s="289"/>
      <c r="H40" s="438"/>
    </row>
    <row r="41" spans="2:17" ht="21" customHeight="1">
      <c r="B41" s="248"/>
      <c r="C41" s="495" t="s">
        <v>3131</v>
      </c>
      <c r="D41" s="495"/>
      <c r="E41" s="495"/>
      <c r="F41" s="495"/>
      <c r="G41" s="289"/>
      <c r="H41" s="438" t="s">
        <v>3131</v>
      </c>
    </row>
    <row r="42" spans="2:17" ht="21" customHeight="1">
      <c r="B42" s="248"/>
      <c r="C42" s="495" t="s">
        <v>3131</v>
      </c>
      <c r="D42" s="495"/>
      <c r="E42" s="495"/>
      <c r="F42" s="495"/>
      <c r="G42" s="289"/>
      <c r="H42" s="438" t="s">
        <v>3131</v>
      </c>
    </row>
    <row r="43" spans="2:17" ht="21" customHeight="1" thickBot="1">
      <c r="B43" s="248"/>
      <c r="C43" s="248"/>
      <c r="D43" s="248"/>
      <c r="E43" s="248"/>
      <c r="F43" s="248"/>
      <c r="G43" s="881"/>
      <c r="H43" s="882"/>
      <c r="I43" s="301"/>
      <c r="M43" s="301"/>
    </row>
    <row r="44" spans="2:17" ht="21" customHeight="1" thickBot="1">
      <c r="B44" s="248"/>
      <c r="C44" s="248" t="s">
        <v>3262</v>
      </c>
      <c r="D44" s="248"/>
      <c r="E44" s="248"/>
      <c r="F44" s="248"/>
      <c r="G44" s="883">
        <f>SUM(G15:G42)</f>
        <v>0</v>
      </c>
      <c r="H44" s="884">
        <f>SUM(H15:H43)</f>
        <v>0</v>
      </c>
      <c r="I44" s="301"/>
      <c r="K44" s="301"/>
    </row>
    <row r="45" spans="2:17" ht="13.8" thickTop="1">
      <c r="B45" s="1361" t="s">
        <v>98</v>
      </c>
      <c r="C45" s="1361"/>
      <c r="D45" s="1361"/>
      <c r="E45" s="1361"/>
      <c r="F45" s="1361"/>
      <c r="G45" s="1352"/>
      <c r="H45" s="1352"/>
    </row>
    <row r="46" spans="2:17">
      <c r="B46" s="302"/>
      <c r="C46" s="302"/>
      <c r="D46" s="302"/>
      <c r="E46" s="302"/>
      <c r="F46" s="302"/>
      <c r="G46" s="302"/>
      <c r="H46" s="302"/>
    </row>
    <row r="47" spans="2:17">
      <c r="B47" s="302"/>
      <c r="C47" s="302"/>
      <c r="D47" s="302"/>
      <c r="E47" s="302"/>
      <c r="F47" s="302"/>
      <c r="G47" s="302"/>
      <c r="H47" s="302"/>
    </row>
    <row r="48" spans="2:17">
      <c r="B48" s="302"/>
      <c r="C48" s="302"/>
      <c r="D48" s="302"/>
      <c r="E48" s="302"/>
      <c r="F48" s="302"/>
      <c r="G48" s="302"/>
      <c r="H48" s="302"/>
    </row>
    <row r="49" spans="2:8">
      <c r="B49" s="302"/>
      <c r="C49" s="302"/>
      <c r="D49" s="302"/>
      <c r="E49" s="302"/>
      <c r="F49" s="302"/>
      <c r="G49" s="302"/>
      <c r="H49" s="302"/>
    </row>
    <row r="50" spans="2:8" ht="13.8">
      <c r="B50" s="1353" t="s">
        <v>3136</v>
      </c>
      <c r="C50" s="1353"/>
      <c r="D50" s="1353"/>
      <c r="E50" s="1353"/>
      <c r="F50" s="1353"/>
      <c r="G50" s="1353"/>
      <c r="H50" s="1353"/>
    </row>
    <row r="55" spans="2:8">
      <c r="H55" s="301"/>
    </row>
  </sheetData>
  <sheetProtection algorithmName="SHA-512" hashValue="XXglU9/3/hCkiJPTN3pC9Z+oqOIvhwmfWQY02Bkrxxft5n2Kfhrx3+nsHa3axRGqxXy8DR1pgC8w6rgvbySZlg==" saltValue="CyjNNnu50ba21kZGYR919Q=="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11494-6FEB-4EF4-ADCF-AB8F93912BF3}">
  <sheetPr codeName="Sheet272">
    <tabColor theme="3" tint="0.79998168889431442"/>
  </sheetPr>
  <dimension ref="B2:Q55"/>
  <sheetViews>
    <sheetView topLeftCell="A25" zoomScaleNormal="100" zoomScaleSheetLayoutView="80" workbookViewId="0">
      <selection activeCell="B8" sqref="B8:H8"/>
    </sheetView>
  </sheetViews>
  <sheetFormatPr defaultColWidth="8.88671875" defaultRowHeight="13.2"/>
  <cols>
    <col min="1" max="1" width="4.6640625" style="267" customWidth="1"/>
    <col min="2" max="2" width="4.88671875" style="267" customWidth="1"/>
    <col min="3" max="4" width="4.6640625" style="267" customWidth="1"/>
    <col min="5" max="5" width="34.33203125" style="267" customWidth="1"/>
    <col min="6" max="6" width="15.6640625" style="267" customWidth="1"/>
    <col min="7" max="8" width="16.6640625" style="267" customWidth="1"/>
    <col min="9" max="9" width="10.88671875" style="267" bestFit="1" customWidth="1"/>
    <col min="10" max="10" width="8.88671875" style="267"/>
    <col min="11" max="11" width="10.33203125" style="267" bestFit="1" customWidth="1"/>
    <col min="12" max="12" width="8.88671875" style="267"/>
    <col min="13" max="13" width="13.88671875" style="267" bestFit="1" customWidth="1"/>
    <col min="14" max="16384" width="8.88671875" style="267"/>
  </cols>
  <sheetData>
    <row r="2" spans="2:17">
      <c r="B2" s="1357" t="s">
        <v>35</v>
      </c>
      <c r="C2" s="1357"/>
      <c r="D2" s="1357"/>
      <c r="E2" s="1357"/>
      <c r="F2" s="1357"/>
      <c r="G2" s="1357"/>
      <c r="H2" s="1357"/>
    </row>
    <row r="3" spans="2:17">
      <c r="B3" s="1357" t="s">
        <v>449</v>
      </c>
      <c r="C3" s="1357"/>
      <c r="D3" s="1357"/>
      <c r="E3" s="1357"/>
      <c r="F3" s="1357"/>
      <c r="G3" s="1357"/>
      <c r="H3" s="1357"/>
    </row>
    <row r="5" spans="2:17" ht="22.8">
      <c r="B5" s="1358" t="s">
        <v>424</v>
      </c>
      <c r="C5" s="1358"/>
      <c r="D5" s="1358"/>
      <c r="E5" s="1358"/>
      <c r="F5" s="1358"/>
      <c r="G5" s="1358"/>
      <c r="H5" s="1358"/>
    </row>
    <row r="6" spans="2:17" ht="22.8">
      <c r="B6" s="1358" t="str">
        <f>"TRIAL  BALANCE - "&amp;UPPER('KEY INPUTS'!D59)&amp;"  UTILITY  FUND (cont'd)"</f>
        <v>TRIAL  BALANCE -   UTILITY  FUND (cont'd)</v>
      </c>
      <c r="C6" s="1358"/>
      <c r="D6" s="1358"/>
      <c r="E6" s="1358"/>
      <c r="F6" s="1358"/>
      <c r="G6" s="1358"/>
      <c r="H6" s="1358"/>
    </row>
    <row r="7" spans="2:17" ht="15.6">
      <c r="B7" s="1359" t="str">
        <f>IF('KEY INPUTS'!C42 = "State Fiscal Year", 'KEY INPUTS'!F45,'KEY INPUTS'!D45)</f>
        <v>AS  AT  DECEMBER  31, 2024</v>
      </c>
      <c r="C7" s="1360"/>
      <c r="D7" s="1360"/>
      <c r="E7" s="1360"/>
      <c r="F7" s="1360"/>
      <c r="G7" s="1360"/>
      <c r="H7" s="1360"/>
    </row>
    <row r="8" spans="2:17" ht="15.6">
      <c r="B8" s="1354" t="s">
        <v>450</v>
      </c>
      <c r="C8" s="1354"/>
      <c r="D8" s="1354"/>
      <c r="E8" s="1354"/>
      <c r="F8" s="1354"/>
      <c r="G8" s="1354"/>
      <c r="H8" s="1354"/>
    </row>
    <row r="9" spans="2:17">
      <c r="B9" s="1355" t="s">
        <v>70</v>
      </c>
      <c r="C9" s="1355"/>
      <c r="D9" s="1355"/>
      <c r="E9" s="1355"/>
      <c r="F9" s="1355"/>
      <c r="G9" s="1355"/>
      <c r="H9" s="1355"/>
    </row>
    <row r="10" spans="2:17" ht="15" customHeight="1" thickBot="1">
      <c r="B10" s="1356" t="s">
        <v>71</v>
      </c>
      <c r="C10" s="1356"/>
      <c r="D10" s="1356"/>
      <c r="E10" s="1356"/>
      <c r="F10" s="1356"/>
      <c r="G10" s="1356"/>
      <c r="H10" s="1356"/>
    </row>
    <row r="11" spans="2:17" ht="36" customHeight="1" thickTop="1" thickBot="1">
      <c r="B11" s="1350" t="s">
        <v>95</v>
      </c>
      <c r="C11" s="1350"/>
      <c r="D11" s="1350"/>
      <c r="E11" s="1350"/>
      <c r="F11" s="1351"/>
      <c r="G11" s="304" t="s">
        <v>96</v>
      </c>
      <c r="H11" s="308" t="s">
        <v>97</v>
      </c>
    </row>
    <row r="12" spans="2:17" ht="21" customHeight="1" thickTop="1">
      <c r="B12" s="248"/>
      <c r="C12" s="248" t="s">
        <v>3263</v>
      </c>
      <c r="D12" s="248"/>
      <c r="E12" s="248"/>
      <c r="F12" s="248"/>
      <c r="G12" s="663">
        <f>'41a-Utility6'!G44</f>
        <v>0</v>
      </c>
      <c r="H12" s="668">
        <f>'41a-Utility6'!H44</f>
        <v>0</v>
      </c>
    </row>
    <row r="13" spans="2:17" ht="21" customHeight="1">
      <c r="C13" s="496"/>
      <c r="D13" s="496"/>
      <c r="E13" s="496"/>
      <c r="F13" s="496"/>
      <c r="G13" s="450"/>
      <c r="H13" s="498"/>
    </row>
    <row r="14" spans="2:17" ht="21" customHeight="1">
      <c r="B14" s="307"/>
      <c r="C14" s="495"/>
      <c r="D14" s="495"/>
      <c r="E14" s="495"/>
      <c r="F14" s="495"/>
      <c r="G14" s="450"/>
      <c r="H14" s="457"/>
      <c r="K14"/>
      <c r="L14"/>
      <c r="M14"/>
      <c r="N14"/>
      <c r="O14"/>
      <c r="P14"/>
      <c r="Q14"/>
    </row>
    <row r="15" spans="2:17" ht="21" customHeight="1">
      <c r="B15" s="248"/>
      <c r="C15" s="495"/>
      <c r="D15" s="495"/>
      <c r="E15" s="495"/>
      <c r="F15" s="495"/>
      <c r="G15" s="450"/>
      <c r="H15" s="457"/>
      <c r="K15"/>
      <c r="L15"/>
      <c r="M15"/>
      <c r="N15"/>
      <c r="O15"/>
      <c r="P15"/>
      <c r="Q15"/>
    </row>
    <row r="16" spans="2:17" ht="21" customHeight="1">
      <c r="B16" s="248"/>
      <c r="C16" s="495"/>
      <c r="D16" s="495"/>
      <c r="E16" s="495"/>
      <c r="F16" s="495"/>
      <c r="G16" s="289"/>
      <c r="H16" s="438"/>
      <c r="K16"/>
      <c r="L16"/>
      <c r="M16"/>
      <c r="N16"/>
      <c r="O16"/>
      <c r="P16"/>
      <c r="Q16"/>
    </row>
    <row r="17" spans="2:17" ht="21" customHeight="1">
      <c r="B17" s="248"/>
      <c r="C17" s="248" t="s">
        <v>3139</v>
      </c>
      <c r="D17" s="248"/>
      <c r="E17" s="248"/>
      <c r="F17" s="248"/>
      <c r="G17" s="663"/>
      <c r="H17" s="668">
        <f>'49-Utility6'!G22</f>
        <v>0</v>
      </c>
      <c r="K17"/>
      <c r="L17"/>
      <c r="M17"/>
      <c r="N17"/>
      <c r="O17"/>
      <c r="P17"/>
      <c r="Q17"/>
    </row>
    <row r="18" spans="2:17" ht="21" customHeight="1">
      <c r="B18" s="248"/>
      <c r="C18" s="248" t="s">
        <v>3383</v>
      </c>
      <c r="D18" s="248"/>
      <c r="E18" s="248"/>
      <c r="F18" s="248"/>
      <c r="G18" s="663"/>
      <c r="H18" s="668">
        <f>'49a-Utility6'!G11+'49a-Utility6'!G22+'49a.1-Utility6'!G11+'49a.1-Utility6'!G22</f>
        <v>0</v>
      </c>
    </row>
    <row r="19" spans="2:17" ht="21" customHeight="1">
      <c r="B19" s="248"/>
      <c r="C19" s="248" t="s">
        <v>3392</v>
      </c>
      <c r="D19" s="248"/>
      <c r="E19" s="248"/>
      <c r="F19" s="248"/>
      <c r="G19" s="663"/>
      <c r="H19" s="668">
        <f>+'51a-Utility6'!G23</f>
        <v>0</v>
      </c>
      <c r="K19"/>
      <c r="L19"/>
      <c r="M19"/>
      <c r="N19"/>
      <c r="O19"/>
      <c r="P19"/>
      <c r="Q19"/>
    </row>
    <row r="20" spans="2:17" ht="21" customHeight="1">
      <c r="B20" s="248"/>
      <c r="C20" s="248" t="s">
        <v>3138</v>
      </c>
      <c r="D20" s="248"/>
      <c r="E20" s="248"/>
      <c r="F20" s="248"/>
      <c r="G20" s="663"/>
      <c r="H20" s="668">
        <f>+'50.1-Utility6'!G18</f>
        <v>0</v>
      </c>
      <c r="K20"/>
      <c r="L20"/>
      <c r="M20"/>
      <c r="N20"/>
      <c r="O20"/>
      <c r="P20"/>
      <c r="Q20"/>
    </row>
    <row r="21" spans="2:17" ht="21" customHeight="1">
      <c r="B21" s="248"/>
      <c r="C21" s="248" t="s">
        <v>802</v>
      </c>
      <c r="D21" s="248"/>
      <c r="E21" s="248"/>
      <c r="F21" s="248"/>
      <c r="G21" s="663"/>
      <c r="H21" s="668" t="s">
        <v>3131</v>
      </c>
      <c r="K21"/>
      <c r="L21"/>
      <c r="M21"/>
      <c r="N21"/>
      <c r="O21"/>
      <c r="P21"/>
      <c r="Q21"/>
    </row>
    <row r="22" spans="2:17" ht="21" customHeight="1">
      <c r="B22" s="248"/>
      <c r="C22" s="248"/>
      <c r="D22" s="248" t="s">
        <v>799</v>
      </c>
      <c r="E22" s="248"/>
      <c r="F22" s="248"/>
      <c r="G22" s="663"/>
      <c r="H22" s="668">
        <f>+'52-Utility6'!K27</f>
        <v>0</v>
      </c>
      <c r="J22" s="301"/>
      <c r="K22"/>
      <c r="L22"/>
      <c r="M22"/>
      <c r="N22"/>
      <c r="O22"/>
      <c r="P22"/>
      <c r="Q22"/>
    </row>
    <row r="23" spans="2:17" ht="21" customHeight="1">
      <c r="B23" s="248"/>
      <c r="C23" s="248"/>
      <c r="D23" s="248" t="s">
        <v>800</v>
      </c>
      <c r="E23" s="248"/>
      <c r="F23" s="248"/>
      <c r="G23" s="663"/>
      <c r="H23" s="668">
        <f>+'52-Utility6'!L27</f>
        <v>0</v>
      </c>
      <c r="J23" s="301"/>
      <c r="K23"/>
      <c r="L23"/>
      <c r="M23"/>
      <c r="N23"/>
      <c r="O23"/>
      <c r="P23"/>
      <c r="Q23"/>
    </row>
    <row r="24" spans="2:17" ht="21" customHeight="1">
      <c r="B24" s="248"/>
      <c r="C24" s="495" t="s">
        <v>3137</v>
      </c>
      <c r="D24" s="495"/>
      <c r="E24" s="495"/>
      <c r="F24" s="495"/>
      <c r="G24" s="289"/>
      <c r="H24" s="419"/>
    </row>
    <row r="25" spans="2:17" ht="21" customHeight="1">
      <c r="B25" s="248"/>
      <c r="C25" s="495" t="s">
        <v>674</v>
      </c>
      <c r="D25" s="495"/>
      <c r="E25" s="495"/>
      <c r="F25" s="495"/>
      <c r="G25" s="289"/>
      <c r="H25" s="419"/>
    </row>
    <row r="26" spans="2:17" ht="21" customHeight="1">
      <c r="B26" s="248"/>
      <c r="C26" s="495" t="str">
        <f>"DUE TO "&amp;UPPER('KEY INPUTS'!D54)&amp;" OPERATING"</f>
        <v>DUE TO WATER OPERATING</v>
      </c>
      <c r="D26" s="495"/>
      <c r="E26" s="495"/>
      <c r="F26" s="495"/>
      <c r="G26" s="289"/>
      <c r="H26" s="419"/>
    </row>
    <row r="27" spans="2:17" ht="21" customHeight="1">
      <c r="B27" s="248"/>
      <c r="C27" s="495" t="s">
        <v>673</v>
      </c>
      <c r="D27" s="495"/>
      <c r="E27" s="495"/>
      <c r="F27" s="495"/>
      <c r="G27" s="289"/>
      <c r="H27" s="419"/>
    </row>
    <row r="28" spans="2:17" ht="21" customHeight="1">
      <c r="B28" s="248"/>
      <c r="C28" s="495" t="s">
        <v>672</v>
      </c>
      <c r="D28" s="495"/>
      <c r="E28" s="495"/>
      <c r="F28" s="495"/>
      <c r="G28" s="289"/>
      <c r="H28" s="419"/>
    </row>
    <row r="29" spans="2:17" ht="21" customHeight="1">
      <c r="B29" s="248"/>
      <c r="C29" s="495" t="s">
        <v>287</v>
      </c>
      <c r="D29" s="495"/>
      <c r="E29" s="495"/>
      <c r="F29" s="495"/>
      <c r="G29" s="289"/>
      <c r="H29" s="419"/>
    </row>
    <row r="30" spans="2:17" ht="21" customHeight="1">
      <c r="B30" s="248"/>
      <c r="C30" s="495"/>
      <c r="D30" s="495"/>
      <c r="E30" s="495"/>
      <c r="F30" s="495"/>
      <c r="G30" s="289"/>
      <c r="H30" s="438" t="s">
        <v>3131</v>
      </c>
    </row>
    <row r="31" spans="2:17" ht="21" customHeight="1">
      <c r="B31" s="248"/>
      <c r="C31" s="495"/>
      <c r="D31" s="495"/>
      <c r="E31" s="495"/>
      <c r="F31" s="495"/>
      <c r="G31" s="289"/>
      <c r="H31" s="438" t="s">
        <v>3131</v>
      </c>
    </row>
    <row r="32" spans="2:17" ht="21" customHeight="1">
      <c r="B32" s="248"/>
      <c r="C32" s="495"/>
      <c r="D32" s="495"/>
      <c r="E32" s="495"/>
      <c r="F32" s="495"/>
      <c r="G32" s="289"/>
      <c r="H32" s="498"/>
    </row>
    <row r="33" spans="2:13" ht="21" customHeight="1">
      <c r="B33" s="248"/>
      <c r="C33" s="495"/>
      <c r="D33" s="495"/>
      <c r="E33" s="495"/>
      <c r="F33" s="495"/>
      <c r="G33" s="289"/>
      <c r="H33" s="438" t="s">
        <v>3131</v>
      </c>
    </row>
    <row r="34" spans="2:13" ht="21" customHeight="1">
      <c r="B34" s="248"/>
      <c r="C34" s="495"/>
      <c r="D34" s="495"/>
      <c r="E34" s="495"/>
      <c r="F34" s="495"/>
      <c r="G34" s="289"/>
      <c r="H34" s="438"/>
    </row>
    <row r="35" spans="2:13" ht="21" customHeight="1">
      <c r="B35" s="248"/>
      <c r="C35" s="495"/>
      <c r="D35" s="495"/>
      <c r="E35" s="495"/>
      <c r="F35" s="495"/>
      <c r="G35" s="289"/>
      <c r="H35" s="438"/>
    </row>
    <row r="36" spans="2:13" ht="21" customHeight="1">
      <c r="B36" s="248"/>
      <c r="C36" s="495"/>
      <c r="D36" s="495"/>
      <c r="E36" s="495"/>
      <c r="F36" s="495"/>
      <c r="G36" s="289"/>
      <c r="H36" s="438" t="s">
        <v>3131</v>
      </c>
    </row>
    <row r="37" spans="2:13" ht="21" customHeight="1">
      <c r="B37" s="248"/>
      <c r="C37" s="495"/>
      <c r="D37" s="495"/>
      <c r="E37" s="495"/>
      <c r="F37" s="495"/>
      <c r="G37" s="289"/>
      <c r="H37" s="498"/>
    </row>
    <row r="38" spans="2:13" ht="21" customHeight="1">
      <c r="B38" s="248"/>
      <c r="C38" s="495"/>
      <c r="D38" s="495"/>
      <c r="E38" s="495"/>
      <c r="F38" s="495"/>
      <c r="G38" s="289"/>
      <c r="H38" s="438" t="s">
        <v>3131</v>
      </c>
    </row>
    <row r="39" spans="2:13" ht="21" customHeight="1">
      <c r="B39" s="248"/>
      <c r="C39" s="495"/>
      <c r="D39" s="495"/>
      <c r="E39" s="495"/>
      <c r="F39" s="495"/>
      <c r="G39" s="289"/>
      <c r="H39" s="438"/>
    </row>
    <row r="40" spans="2:13" ht="21" customHeight="1">
      <c r="B40" s="248"/>
      <c r="C40" s="248" t="s">
        <v>3199</v>
      </c>
      <c r="D40" s="248"/>
      <c r="E40" s="248"/>
      <c r="F40" s="248"/>
      <c r="G40" s="663"/>
      <c r="H40" s="668">
        <f>+'53-Utility6'!I41</f>
        <v>0</v>
      </c>
    </row>
    <row r="41" spans="2:13" ht="21" customHeight="1">
      <c r="B41" s="248"/>
      <c r="C41" s="248" t="s">
        <v>803</v>
      </c>
      <c r="D41" s="248"/>
      <c r="E41" s="248"/>
      <c r="F41" s="248"/>
      <c r="G41" s="663"/>
      <c r="H41" s="668">
        <f>+'53-Utility6'!I24</f>
        <v>0</v>
      </c>
    </row>
    <row r="42" spans="2:13" ht="21" customHeight="1">
      <c r="B42" s="248"/>
      <c r="C42" s="248" t="s">
        <v>641</v>
      </c>
      <c r="D42" s="248"/>
      <c r="E42" s="248"/>
      <c r="F42" s="248"/>
      <c r="G42" s="663"/>
      <c r="H42" s="668">
        <f>+'54-Utility6'!I42</f>
        <v>0</v>
      </c>
    </row>
    <row r="43" spans="2:13" ht="21" customHeight="1" thickBot="1">
      <c r="B43" s="248"/>
      <c r="C43" s="248"/>
      <c r="D43" s="248"/>
      <c r="E43" s="248"/>
      <c r="F43" s="248"/>
      <c r="G43" s="881"/>
      <c r="H43" s="882"/>
      <c r="I43" s="301"/>
      <c r="M43" s="301"/>
    </row>
    <row r="44" spans="2:13" ht="21" customHeight="1" thickBot="1">
      <c r="B44" s="248"/>
      <c r="C44" s="248" t="s">
        <v>798</v>
      </c>
      <c r="D44" s="248"/>
      <c r="E44" s="248"/>
      <c r="F44" s="248"/>
      <c r="G44" s="883">
        <f>SUM(G12:G42)</f>
        <v>0</v>
      </c>
      <c r="H44" s="884">
        <f>SUM(H12:H43)</f>
        <v>0</v>
      </c>
      <c r="I44" s="301"/>
      <c r="K44" s="301"/>
    </row>
    <row r="45" spans="2:13" ht="13.8" thickTop="1">
      <c r="B45" s="1361" t="s">
        <v>98</v>
      </c>
      <c r="C45" s="1361"/>
      <c r="D45" s="1361"/>
      <c r="E45" s="1361"/>
      <c r="F45" s="1361"/>
      <c r="G45" s="1352"/>
      <c r="H45" s="1352"/>
    </row>
    <row r="46" spans="2:13">
      <c r="B46" s="302"/>
      <c r="C46" s="302"/>
      <c r="D46" s="302"/>
      <c r="E46" s="302"/>
      <c r="F46" s="302"/>
      <c r="G46" s="302"/>
      <c r="H46" s="302"/>
    </row>
    <row r="47" spans="2:13">
      <c r="B47" s="302"/>
      <c r="C47" s="302"/>
      <c r="D47" s="302"/>
      <c r="E47" s="302"/>
      <c r="F47" s="302"/>
      <c r="G47" s="302"/>
      <c r="H47" s="302"/>
    </row>
    <row r="48" spans="2:13">
      <c r="B48" s="302"/>
      <c r="C48" s="302"/>
      <c r="D48" s="302"/>
      <c r="E48" s="302"/>
      <c r="F48" s="302"/>
      <c r="G48" s="302"/>
      <c r="H48" s="302"/>
    </row>
    <row r="49" spans="2:8">
      <c r="B49" s="302"/>
      <c r="C49" s="302"/>
      <c r="D49" s="302"/>
      <c r="E49" s="302"/>
      <c r="F49" s="302"/>
      <c r="G49" s="302"/>
      <c r="H49" s="302"/>
    </row>
    <row r="50" spans="2:8" ht="13.8">
      <c r="B50" s="1353" t="s">
        <v>3394</v>
      </c>
      <c r="C50" s="1353"/>
      <c r="D50" s="1353"/>
      <c r="E50" s="1353"/>
      <c r="F50" s="1353"/>
      <c r="G50" s="1353"/>
      <c r="H50" s="1353"/>
    </row>
    <row r="55" spans="2:8">
      <c r="H55" s="301"/>
    </row>
  </sheetData>
  <sheetProtection algorithmName="SHA-512" hashValue="ThfBIMPitl+4+HHd/fqZOOM327C9TtGejhe8C0/pkE6lwqRb4JwA9Q5CjVyKuuB1KHhyek1kU1sjymDFhATJig==" saltValue="qYK9FASQZE/euvuQBIBDHA=="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0A527-53F3-4754-B439-024ABB23CD83}">
  <sheetPr codeName="Sheet273">
    <tabColor theme="3" tint="0.79998168889431442"/>
  </sheetPr>
  <dimension ref="B3:R49"/>
  <sheetViews>
    <sheetView zoomScaleNormal="100" zoomScaleSheetLayoutView="80" workbookViewId="0">
      <selection activeCell="B10" sqref="B10:F10"/>
    </sheetView>
  </sheetViews>
  <sheetFormatPr defaultColWidth="9.109375" defaultRowHeight="13.2"/>
  <cols>
    <col min="1" max="1" width="4.6640625" style="267" customWidth="1"/>
    <col min="2" max="2" width="4.88671875" style="267" customWidth="1"/>
    <col min="3" max="4" width="4.6640625" style="267" customWidth="1"/>
    <col min="5" max="5" width="30.6640625" style="267" customWidth="1"/>
    <col min="6" max="6" width="15.6640625" style="267" customWidth="1"/>
    <col min="7" max="8" width="16.6640625" style="267" customWidth="1"/>
    <col min="9" max="16384" width="9.109375" style="267"/>
  </cols>
  <sheetData>
    <row r="3" spans="2:18" ht="22.8">
      <c r="B3" s="1358" t="s">
        <v>823</v>
      </c>
      <c r="C3" s="1358"/>
      <c r="D3" s="1358"/>
      <c r="E3" s="1358"/>
      <c r="F3" s="1358"/>
      <c r="G3" s="1358"/>
      <c r="H3" s="1358"/>
    </row>
    <row r="4" spans="2:18" ht="22.8">
      <c r="B4" s="1358" t="s">
        <v>824</v>
      </c>
      <c r="C4" s="1358"/>
      <c r="D4" s="1358"/>
      <c r="E4" s="1358"/>
      <c r="F4" s="1358"/>
      <c r="G4" s="1358"/>
      <c r="H4" s="1358"/>
    </row>
    <row r="5" spans="2:18" ht="15.6">
      <c r="B5" s="1360"/>
      <c r="C5" s="1360"/>
      <c r="D5" s="1360"/>
      <c r="E5" s="1360"/>
      <c r="F5" s="1360"/>
      <c r="G5" s="1360"/>
      <c r="H5" s="1360"/>
    </row>
    <row r="6" spans="2:18" ht="13.8">
      <c r="B6" s="1362" t="s">
        <v>825</v>
      </c>
      <c r="C6" s="1362"/>
      <c r="D6" s="1362"/>
      <c r="E6" s="1362"/>
      <c r="F6" s="1362"/>
      <c r="G6" s="1362"/>
      <c r="H6" s="1362"/>
    </row>
    <row r="7" spans="2:18" ht="13.8">
      <c r="B7" s="1362" t="s">
        <v>829</v>
      </c>
      <c r="C7" s="1362"/>
      <c r="D7" s="1362"/>
      <c r="E7" s="1362"/>
      <c r="F7" s="1362"/>
      <c r="G7" s="1362"/>
      <c r="H7" s="1362"/>
    </row>
    <row r="8" spans="2:18" ht="13.8">
      <c r="B8" s="787"/>
      <c r="C8" s="787"/>
      <c r="D8" s="787"/>
      <c r="E8" s="787"/>
      <c r="F8" s="787"/>
      <c r="G8" s="787"/>
      <c r="H8" s="787"/>
    </row>
    <row r="9" spans="2:18" ht="15" customHeight="1" thickBot="1">
      <c r="B9" s="1359" t="str">
        <f>IF('KEY INPUTS'!C42 = "State Fiscal Year", 'KEY INPUTS'!F45,'KEY INPUTS'!D45)</f>
        <v>AS  AT  DECEMBER  31, 2024</v>
      </c>
      <c r="C9" s="1360"/>
      <c r="D9" s="1360"/>
      <c r="E9" s="1360"/>
      <c r="F9" s="1360"/>
      <c r="G9" s="1360"/>
      <c r="H9" s="1360"/>
    </row>
    <row r="10" spans="2:18" ht="36" customHeight="1" thickTop="1" thickBot="1">
      <c r="B10" s="1350" t="s">
        <v>95</v>
      </c>
      <c r="C10" s="1350"/>
      <c r="D10" s="1350"/>
      <c r="E10" s="1350"/>
      <c r="F10" s="1351"/>
      <c r="G10" s="304" t="s">
        <v>96</v>
      </c>
      <c r="H10" s="308" t="s">
        <v>97</v>
      </c>
    </row>
    <row r="11" spans="2:18" ht="21" customHeight="1" thickTop="1">
      <c r="B11" s="574" t="s">
        <v>351</v>
      </c>
      <c r="C11" s="574"/>
      <c r="D11" s="574"/>
      <c r="E11" s="574"/>
      <c r="F11" s="574"/>
      <c r="G11" s="497"/>
      <c r="H11" s="498"/>
      <c r="L11"/>
      <c r="M11"/>
      <c r="N11"/>
      <c r="O11"/>
      <c r="P11"/>
      <c r="Q11"/>
      <c r="R11"/>
    </row>
    <row r="12" spans="2:18" ht="21" customHeight="1">
      <c r="B12" s="495"/>
      <c r="C12" s="495"/>
      <c r="D12" s="495"/>
      <c r="E12" s="495"/>
      <c r="F12" s="495"/>
      <c r="G12" s="450"/>
      <c r="H12" s="457"/>
      <c r="L12"/>
      <c r="M12"/>
      <c r="N12"/>
      <c r="O12"/>
      <c r="P12"/>
      <c r="Q12"/>
      <c r="R12"/>
    </row>
    <row r="13" spans="2:18" ht="21" customHeight="1">
      <c r="B13" s="495"/>
      <c r="C13" s="495"/>
      <c r="D13" s="495"/>
      <c r="E13" s="495"/>
      <c r="F13" s="495"/>
      <c r="G13" s="450"/>
      <c r="H13" s="457"/>
      <c r="L13" s="294"/>
      <c r="M13"/>
      <c r="N13"/>
      <c r="O13"/>
      <c r="P13"/>
      <c r="Q13"/>
      <c r="R13"/>
    </row>
    <row r="14" spans="2:18" ht="21" customHeight="1">
      <c r="B14" s="495"/>
      <c r="C14" s="495"/>
      <c r="D14" s="495"/>
      <c r="E14" s="495"/>
      <c r="F14" s="495"/>
      <c r="G14" s="450"/>
      <c r="H14" s="457"/>
      <c r="L14"/>
      <c r="M14"/>
      <c r="N14"/>
      <c r="O14"/>
      <c r="P14"/>
      <c r="Q14"/>
      <c r="R14"/>
    </row>
    <row r="15" spans="2:18" ht="21" customHeight="1">
      <c r="B15" s="495"/>
      <c r="C15" s="495"/>
      <c r="D15" s="495"/>
      <c r="E15" s="495"/>
      <c r="F15" s="495"/>
      <c r="G15" s="450"/>
      <c r="H15" s="457"/>
      <c r="L15"/>
      <c r="M15"/>
      <c r="N15"/>
      <c r="O15"/>
      <c r="P15"/>
      <c r="Q15"/>
      <c r="R15"/>
    </row>
    <row r="16" spans="2:18" ht="21" customHeight="1">
      <c r="B16" s="495"/>
      <c r="C16" s="495"/>
      <c r="D16" s="495"/>
      <c r="E16" s="495"/>
      <c r="F16" s="495"/>
      <c r="G16" s="450"/>
      <c r="H16" s="457"/>
      <c r="L16"/>
      <c r="M16"/>
      <c r="N16"/>
      <c r="O16"/>
      <c r="P16"/>
      <c r="Q16"/>
      <c r="R16"/>
    </row>
    <row r="17" spans="2:18" ht="21" customHeight="1">
      <c r="B17" s="495"/>
      <c r="C17" s="495"/>
      <c r="D17" s="495"/>
      <c r="E17" s="495"/>
      <c r="F17" s="495"/>
      <c r="G17" s="450"/>
      <c r="H17" s="457"/>
      <c r="L17"/>
      <c r="M17"/>
      <c r="N17"/>
      <c r="O17"/>
      <c r="P17"/>
      <c r="Q17"/>
      <c r="R17"/>
    </row>
    <row r="18" spans="2:18" ht="21" customHeight="1">
      <c r="B18" s="495"/>
      <c r="C18" s="495"/>
      <c r="D18" s="495"/>
      <c r="E18" s="495"/>
      <c r="F18" s="495"/>
      <c r="G18" s="450"/>
      <c r="H18" s="457"/>
      <c r="L18"/>
      <c r="M18"/>
      <c r="N18"/>
      <c r="O18"/>
      <c r="P18"/>
      <c r="Q18"/>
      <c r="R18"/>
    </row>
    <row r="19" spans="2:18" ht="21" customHeight="1">
      <c r="B19" s="495"/>
      <c r="C19" s="495"/>
      <c r="D19" s="495"/>
      <c r="E19" s="495"/>
      <c r="F19" s="495"/>
      <c r="G19" s="450"/>
      <c r="H19" s="457"/>
      <c r="L19"/>
      <c r="M19"/>
      <c r="N19"/>
      <c r="O19"/>
      <c r="P19"/>
      <c r="Q19"/>
      <c r="R19"/>
    </row>
    <row r="20" spans="2:18" ht="21" customHeight="1">
      <c r="B20" s="495"/>
      <c r="C20" s="495"/>
      <c r="D20" s="495"/>
      <c r="E20" s="495"/>
      <c r="F20" s="495"/>
      <c r="G20" s="450"/>
      <c r="H20" s="457"/>
      <c r="L20"/>
      <c r="M20"/>
      <c r="N20"/>
      <c r="O20"/>
      <c r="P20"/>
      <c r="Q20"/>
      <c r="R20"/>
    </row>
    <row r="21" spans="2:18" ht="21" customHeight="1">
      <c r="B21" s="495"/>
      <c r="C21" s="495"/>
      <c r="D21" s="495"/>
      <c r="E21" s="495"/>
      <c r="F21" s="495"/>
      <c r="G21" s="450"/>
      <c r="H21" s="457"/>
      <c r="L21"/>
      <c r="M21"/>
      <c r="N21"/>
      <c r="O21"/>
      <c r="P21"/>
      <c r="Q21"/>
      <c r="R21"/>
    </row>
    <row r="22" spans="2:18" ht="21" customHeight="1">
      <c r="B22" s="495"/>
      <c r="C22" s="495"/>
      <c r="D22" s="495"/>
      <c r="E22" s="495"/>
      <c r="F22" s="495"/>
      <c r="G22" s="450"/>
      <c r="H22" s="457"/>
      <c r="L22"/>
      <c r="M22"/>
      <c r="N22"/>
      <c r="O22"/>
      <c r="P22"/>
      <c r="Q22"/>
      <c r="R22"/>
    </row>
    <row r="23" spans="2:18" ht="21" customHeight="1">
      <c r="B23" s="495"/>
      <c r="C23" s="495"/>
      <c r="D23" s="495"/>
      <c r="E23" s="495"/>
      <c r="F23" s="495"/>
      <c r="G23" s="450"/>
      <c r="H23" s="457"/>
      <c r="L23"/>
      <c r="M23"/>
      <c r="N23"/>
      <c r="O23"/>
      <c r="P23"/>
      <c r="Q23"/>
      <c r="R23"/>
    </row>
    <row r="24" spans="2:18" ht="21" customHeight="1">
      <c r="B24" s="495"/>
      <c r="C24" s="495"/>
      <c r="D24" s="495"/>
      <c r="E24" s="495"/>
      <c r="F24" s="495"/>
      <c r="G24" s="450"/>
      <c r="H24" s="457"/>
      <c r="L24"/>
      <c r="M24"/>
      <c r="N24"/>
      <c r="O24"/>
      <c r="P24"/>
      <c r="Q24"/>
      <c r="R24"/>
    </row>
    <row r="25" spans="2:18" ht="21" customHeight="1">
      <c r="B25" s="495"/>
      <c r="C25" s="495"/>
      <c r="D25" s="495"/>
      <c r="E25" s="495"/>
      <c r="F25" s="495"/>
      <c r="G25" s="450"/>
      <c r="H25" s="457"/>
      <c r="L25"/>
      <c r="M25"/>
      <c r="N25"/>
      <c r="O25"/>
      <c r="P25"/>
      <c r="Q25"/>
      <c r="R25"/>
    </row>
    <row r="26" spans="2:18" ht="21" customHeight="1">
      <c r="B26" s="495"/>
      <c r="C26" s="495"/>
      <c r="D26" s="495"/>
      <c r="E26" s="495"/>
      <c r="F26" s="495"/>
      <c r="G26" s="450"/>
      <c r="H26" s="457"/>
      <c r="L26"/>
      <c r="M26"/>
      <c r="N26"/>
      <c r="O26"/>
      <c r="P26"/>
      <c r="Q26"/>
      <c r="R26"/>
    </row>
    <row r="27" spans="2:18" ht="21" customHeight="1">
      <c r="B27" s="495"/>
      <c r="C27" s="495"/>
      <c r="D27" s="495"/>
      <c r="E27" s="495"/>
      <c r="F27" s="495"/>
      <c r="G27" s="450"/>
      <c r="H27" s="457"/>
      <c r="L27"/>
      <c r="M27"/>
      <c r="N27"/>
      <c r="O27"/>
      <c r="P27"/>
      <c r="Q27"/>
      <c r="R27"/>
    </row>
    <row r="28" spans="2:18" ht="21" customHeight="1">
      <c r="B28" s="495"/>
      <c r="C28" s="495"/>
      <c r="D28" s="495"/>
      <c r="E28" s="495"/>
      <c r="F28" s="495"/>
      <c r="G28" s="450"/>
      <c r="H28" s="457"/>
    </row>
    <row r="29" spans="2:18" ht="21" customHeight="1">
      <c r="B29" s="495"/>
      <c r="C29" s="495"/>
      <c r="D29" s="495"/>
      <c r="E29" s="495"/>
      <c r="F29" s="495"/>
      <c r="G29" s="450"/>
      <c r="H29" s="457"/>
    </row>
    <row r="30" spans="2:18" ht="21" customHeight="1">
      <c r="B30" s="495"/>
      <c r="C30" s="495"/>
      <c r="D30" s="495"/>
      <c r="E30" s="495"/>
      <c r="F30" s="495"/>
      <c r="G30" s="450"/>
      <c r="H30" s="457"/>
    </row>
    <row r="31" spans="2:18" ht="21" customHeight="1">
      <c r="B31" s="495"/>
      <c r="C31" s="495"/>
      <c r="D31" s="495"/>
      <c r="E31" s="495"/>
      <c r="F31" s="495"/>
      <c r="G31" s="450"/>
      <c r="H31" s="457"/>
    </row>
    <row r="32" spans="2:18" ht="21" customHeight="1">
      <c r="B32" s="495"/>
      <c r="C32" s="495"/>
      <c r="D32" s="495"/>
      <c r="E32" s="495"/>
      <c r="F32" s="495"/>
      <c r="G32" s="450"/>
      <c r="H32" s="457"/>
    </row>
    <row r="33" spans="2:8" ht="21" customHeight="1">
      <c r="B33" s="495"/>
      <c r="C33" s="495"/>
      <c r="D33" s="495"/>
      <c r="E33" s="495"/>
      <c r="F33" s="495"/>
      <c r="G33" s="450"/>
      <c r="H33" s="457"/>
    </row>
    <row r="34" spans="2:8" ht="21" customHeight="1">
      <c r="B34" s="495"/>
      <c r="C34" s="495"/>
      <c r="D34" s="495"/>
      <c r="E34" s="495"/>
      <c r="F34" s="495"/>
      <c r="G34" s="450"/>
      <c r="H34" s="457"/>
    </row>
    <row r="35" spans="2:8" ht="21" customHeight="1">
      <c r="B35" s="495"/>
      <c r="C35" s="495"/>
      <c r="D35" s="495"/>
      <c r="E35" s="495"/>
      <c r="F35" s="495"/>
      <c r="G35" s="450"/>
      <c r="H35" s="457"/>
    </row>
    <row r="36" spans="2:8" ht="21" customHeight="1">
      <c r="B36" s="495"/>
      <c r="C36" s="495"/>
      <c r="D36" s="495"/>
      <c r="E36" s="495"/>
      <c r="F36" s="495"/>
      <c r="G36" s="450"/>
      <c r="H36" s="457"/>
    </row>
    <row r="37" spans="2:8" ht="21" customHeight="1">
      <c r="B37" s="495"/>
      <c r="C37" s="495"/>
      <c r="D37" s="495"/>
      <c r="E37" s="495"/>
      <c r="F37" s="495"/>
      <c r="G37" s="450"/>
      <c r="H37" s="457"/>
    </row>
    <row r="38" spans="2:8" ht="21" customHeight="1">
      <c r="B38" s="788" t="s">
        <v>3200</v>
      </c>
      <c r="C38" s="788"/>
      <c r="D38" s="788"/>
      <c r="E38" s="788"/>
      <c r="F38" s="788"/>
      <c r="G38" s="789"/>
      <c r="H38" s="781">
        <f>'51-Utility6'!G23</f>
        <v>0</v>
      </c>
    </row>
    <row r="39" spans="2:8" ht="21" customHeight="1">
      <c r="B39" s="788" t="s">
        <v>3201</v>
      </c>
      <c r="C39" s="788"/>
      <c r="D39" s="788"/>
      <c r="E39" s="788"/>
      <c r="F39" s="788"/>
      <c r="G39" s="789"/>
      <c r="H39" s="781">
        <f>'49-Utility6'!G11</f>
        <v>0</v>
      </c>
    </row>
    <row r="40" spans="2:8" ht="21" customHeight="1">
      <c r="B40" s="788" t="s">
        <v>797</v>
      </c>
      <c r="C40" s="788"/>
      <c r="D40" s="788"/>
      <c r="E40" s="788"/>
      <c r="F40" s="788"/>
      <c r="G40" s="789"/>
      <c r="H40" s="781">
        <f>'43-Utility6'!L20</f>
        <v>0</v>
      </c>
    </row>
    <row r="41" spans="2:8" ht="21" customHeight="1">
      <c r="B41" s="495"/>
      <c r="C41" s="495"/>
      <c r="D41" s="495"/>
      <c r="E41" s="495"/>
      <c r="F41" s="495"/>
      <c r="G41" s="450"/>
      <c r="H41" s="457"/>
    </row>
    <row r="42" spans="2:8" ht="21" customHeight="1">
      <c r="B42" s="495"/>
      <c r="C42" s="495"/>
      <c r="D42" s="495"/>
      <c r="E42" s="495"/>
      <c r="F42" s="495"/>
      <c r="G42" s="450"/>
      <c r="H42" s="457"/>
    </row>
    <row r="43" spans="2:8" ht="21" customHeight="1">
      <c r="B43" s="248" t="s">
        <v>798</v>
      </c>
      <c r="C43" s="248"/>
      <c r="D43" s="248"/>
      <c r="E43" s="248"/>
      <c r="F43" s="248"/>
      <c r="G43" s="767">
        <f>SUM(G11:G42)</f>
        <v>0</v>
      </c>
      <c r="H43" s="790">
        <f>SUM(H11:H42)</f>
        <v>0</v>
      </c>
    </row>
    <row r="44" spans="2:8">
      <c r="B44" s="1352" t="s">
        <v>98</v>
      </c>
      <c r="C44" s="1352"/>
      <c r="D44" s="1352"/>
      <c r="E44" s="1352"/>
      <c r="F44" s="1352"/>
      <c r="G44" s="1352"/>
      <c r="H44" s="1352"/>
    </row>
    <row r="45" spans="2:8">
      <c r="B45" s="302"/>
      <c r="C45" s="302"/>
      <c r="D45" s="302"/>
      <c r="E45" s="302"/>
      <c r="F45" s="302"/>
      <c r="G45" s="302"/>
      <c r="H45" s="302"/>
    </row>
    <row r="46" spans="2:8">
      <c r="B46" s="302"/>
      <c r="C46" s="302"/>
      <c r="D46" s="302"/>
      <c r="E46" s="302"/>
      <c r="F46" s="302"/>
      <c r="G46" s="302"/>
      <c r="H46" s="302"/>
    </row>
    <row r="47" spans="2:8">
      <c r="B47" s="302"/>
      <c r="C47" s="302"/>
      <c r="D47" s="302"/>
      <c r="E47" s="302"/>
      <c r="F47" s="302"/>
      <c r="G47" s="302"/>
      <c r="H47" s="302"/>
    </row>
    <row r="48" spans="2:8">
      <c r="B48" s="302"/>
      <c r="C48" s="302"/>
      <c r="D48" s="302"/>
      <c r="E48" s="302"/>
      <c r="F48" s="302"/>
      <c r="G48" s="302"/>
      <c r="H48" s="302"/>
    </row>
    <row r="49" spans="2:8" ht="13.8">
      <c r="B49" s="1353" t="s">
        <v>3140</v>
      </c>
      <c r="C49" s="1353"/>
      <c r="D49" s="1353"/>
      <c r="E49" s="1353"/>
      <c r="F49" s="1353"/>
      <c r="G49" s="1353"/>
      <c r="H49" s="1353"/>
    </row>
  </sheetData>
  <sheetProtection algorithmName="SHA-512" hashValue="Al+vp7PkXYPrP73s/QABbY9tfp8eXYS5xPlYONM3+9XO1JnTBLsUdPO3BWFjG9Ip55ixNBWpcm0A6YpxR8lfCg==" saltValue="XUXWQfEx1aEe54dPOakjUA=="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6BE54-A08A-4703-82C1-72944AB855F0}">
  <sheetPr codeName="Sheet274">
    <tabColor theme="3" tint="0.79998168889431442"/>
  </sheetPr>
  <dimension ref="A2:V27"/>
  <sheetViews>
    <sheetView zoomScaleNormal="100" zoomScaleSheetLayoutView="80" workbookViewId="0">
      <selection activeCell="L7" sqref="L7"/>
    </sheetView>
  </sheetViews>
  <sheetFormatPr defaultColWidth="9.109375" defaultRowHeight="13.2"/>
  <cols>
    <col min="1" max="1" width="5.6640625" style="267" customWidth="1"/>
    <col min="2" max="3" width="4.88671875" style="267" customWidth="1"/>
    <col min="4" max="4" width="30.6640625" style="267" customWidth="1"/>
    <col min="5" max="12" width="15.6640625" style="267" customWidth="1"/>
    <col min="13" max="16384" width="9.109375" style="267"/>
  </cols>
  <sheetData>
    <row r="2" spans="1:22" ht="20.399999999999999">
      <c r="B2" s="1363" t="str">
        <f>"ANALYSIS  OF "&amp;UPPER('KEY INPUTS'!D59)&amp;" UTILITY  ASSESSMENT  TRUST  CASH  AND  INVESTMENTS"</f>
        <v>ANALYSIS  OF  UTILITY  ASSESSMENT  TRUST  CASH  AND  INVESTMENTS</v>
      </c>
      <c r="C2" s="1363"/>
      <c r="D2" s="1363"/>
      <c r="E2" s="1363"/>
      <c r="F2" s="1363"/>
      <c r="G2" s="1363"/>
      <c r="H2" s="1363"/>
      <c r="I2" s="1363"/>
      <c r="J2" s="1363"/>
      <c r="K2" s="1363"/>
      <c r="L2" s="1363"/>
    </row>
    <row r="3" spans="1:22" ht="21" thickBot="1">
      <c r="B3" s="1363" t="s">
        <v>830</v>
      </c>
      <c r="C3" s="1363"/>
      <c r="D3" s="1363"/>
      <c r="E3" s="1363"/>
      <c r="F3" s="1363"/>
      <c r="G3" s="1363"/>
      <c r="H3" s="1363"/>
      <c r="I3" s="1363"/>
      <c r="J3" s="1363"/>
      <c r="K3" s="1363"/>
      <c r="L3" s="1363"/>
    </row>
    <row r="4" spans="1:22" ht="13.8" thickTop="1">
      <c r="B4" s="323"/>
      <c r="C4" s="323"/>
      <c r="D4" s="323"/>
      <c r="E4" s="324" t="s">
        <v>528</v>
      </c>
      <c r="F4" s="323"/>
      <c r="G4" s="323"/>
      <c r="H4" s="323"/>
      <c r="I4" s="323"/>
      <c r="J4" s="791"/>
      <c r="K4" s="323"/>
      <c r="L4" s="322"/>
    </row>
    <row r="5" spans="1:22" ht="15.6">
      <c r="C5" s="267" t="s">
        <v>536</v>
      </c>
      <c r="E5" s="320" t="s">
        <v>529</v>
      </c>
      <c r="F5" s="1364" t="s">
        <v>530</v>
      </c>
      <c r="G5" s="1365"/>
      <c r="H5" s="1365"/>
      <c r="I5" s="1366"/>
      <c r="J5" s="792"/>
      <c r="L5" s="321" t="s">
        <v>529</v>
      </c>
    </row>
    <row r="6" spans="1:22">
      <c r="C6" s="267" t="s">
        <v>537</v>
      </c>
      <c r="E6" s="793" t="str">
        <f>IF('KEY INPUTS'!C42 = "State Fiscal Year", 'KEY INPUTS'!F46,'KEY INPUTS'!D46)</f>
        <v>Dec. 31, 2023</v>
      </c>
      <c r="F6" s="320" t="s">
        <v>531</v>
      </c>
      <c r="G6" s="320" t="s">
        <v>248</v>
      </c>
      <c r="H6" s="792"/>
      <c r="I6" s="792"/>
      <c r="J6" s="792"/>
      <c r="K6" s="319" t="s">
        <v>535</v>
      </c>
      <c r="L6" s="794" t="str">
        <f>IF('KEY INPUTS'!C42 = "State Fiscal Year", 'KEY INPUTS'!F47,'KEY INPUTS'!D47)</f>
        <v>Dec. 31, 2024</v>
      </c>
    </row>
    <row r="7" spans="1:22" ht="13.8" thickBot="1">
      <c r="B7" s="318"/>
      <c r="C7" s="318"/>
      <c r="D7" s="318"/>
      <c r="E7" s="316"/>
      <c r="F7" s="317" t="s">
        <v>532</v>
      </c>
      <c r="G7" s="317" t="s">
        <v>534</v>
      </c>
      <c r="H7" s="316"/>
      <c r="I7" s="316"/>
      <c r="J7" s="316"/>
      <c r="K7" s="315"/>
      <c r="L7" s="314"/>
    </row>
    <row r="8" spans="1:22" ht="21" customHeight="1" thickTop="1">
      <c r="B8" s="313" t="s">
        <v>621</v>
      </c>
      <c r="C8" s="313"/>
      <c r="D8" s="795"/>
      <c r="E8" s="757" t="s">
        <v>627</v>
      </c>
      <c r="F8" s="757" t="s">
        <v>627</v>
      </c>
      <c r="G8" s="757" t="s">
        <v>627</v>
      </c>
      <c r="H8" s="757" t="s">
        <v>627</v>
      </c>
      <c r="I8" s="757" t="s">
        <v>627</v>
      </c>
      <c r="J8" s="757" t="s">
        <v>627</v>
      </c>
      <c r="K8" s="757" t="s">
        <v>627</v>
      </c>
      <c r="L8" s="641" t="s">
        <v>627</v>
      </c>
      <c r="P8"/>
      <c r="Q8"/>
      <c r="R8"/>
      <c r="S8"/>
      <c r="T8"/>
      <c r="U8"/>
      <c r="V8"/>
    </row>
    <row r="9" spans="1:22" ht="21" customHeight="1">
      <c r="B9" s="495"/>
      <c r="C9" s="495"/>
      <c r="D9" s="499"/>
      <c r="E9" s="450"/>
      <c r="F9" s="450"/>
      <c r="G9" s="450"/>
      <c r="H9" s="450"/>
      <c r="I9" s="450"/>
      <c r="J9" s="450"/>
      <c r="K9" s="450"/>
      <c r="L9" s="753">
        <f>+E9+F9+G9+H9+I9+J9-K9</f>
        <v>0</v>
      </c>
      <c r="P9"/>
      <c r="Q9"/>
      <c r="R9"/>
      <c r="S9"/>
      <c r="T9"/>
      <c r="U9"/>
      <c r="V9"/>
    </row>
    <row r="10" spans="1:22" ht="21" customHeight="1">
      <c r="B10" s="495"/>
      <c r="C10" s="495"/>
      <c r="D10" s="499"/>
      <c r="E10" s="450"/>
      <c r="F10" s="450"/>
      <c r="G10" s="450"/>
      <c r="H10" s="450"/>
      <c r="I10" s="450"/>
      <c r="J10" s="450"/>
      <c r="K10" s="450"/>
      <c r="L10" s="753">
        <f t="shared" ref="L10:L25" si="0">+E10+F10+G10+H10+I10+J10-K10</f>
        <v>0</v>
      </c>
      <c r="P10" s="294"/>
      <c r="Q10"/>
      <c r="R10"/>
      <c r="S10"/>
      <c r="T10"/>
      <c r="U10"/>
      <c r="V10"/>
    </row>
    <row r="11" spans="1:22" ht="21" customHeight="1">
      <c r="B11" s="495"/>
      <c r="C11" s="495"/>
      <c r="D11" s="499"/>
      <c r="E11" s="450"/>
      <c r="F11" s="450"/>
      <c r="G11" s="450"/>
      <c r="H11" s="450"/>
      <c r="I11" s="450"/>
      <c r="J11" s="450"/>
      <c r="K11" s="450"/>
      <c r="L11" s="753">
        <f t="shared" si="0"/>
        <v>0</v>
      </c>
      <c r="P11"/>
      <c r="Q11"/>
      <c r="R11"/>
      <c r="S11"/>
      <c r="T11"/>
      <c r="U11"/>
      <c r="V11"/>
    </row>
    <row r="12" spans="1:22" ht="21" customHeight="1">
      <c r="B12" s="495"/>
      <c r="C12" s="495"/>
      <c r="D12" s="499"/>
      <c r="E12" s="450"/>
      <c r="F12" s="450"/>
      <c r="G12" s="450"/>
      <c r="H12" s="450"/>
      <c r="I12" s="450"/>
      <c r="J12" s="450"/>
      <c r="K12" s="450"/>
      <c r="L12" s="753">
        <f t="shared" si="0"/>
        <v>0</v>
      </c>
      <c r="P12"/>
      <c r="Q12"/>
      <c r="R12"/>
      <c r="S12"/>
      <c r="T12"/>
      <c r="U12"/>
      <c r="V12"/>
    </row>
    <row r="13" spans="1:22" ht="21" customHeight="1">
      <c r="B13" s="495"/>
      <c r="C13" s="495"/>
      <c r="D13" s="499"/>
      <c r="E13" s="453"/>
      <c r="F13" s="450"/>
      <c r="G13" s="450"/>
      <c r="H13" s="450"/>
      <c r="I13" s="450"/>
      <c r="J13" s="450"/>
      <c r="K13" s="450"/>
      <c r="L13" s="753">
        <f t="shared" si="0"/>
        <v>0</v>
      </c>
      <c r="P13"/>
      <c r="Q13"/>
      <c r="R13"/>
      <c r="S13"/>
      <c r="T13"/>
      <c r="U13"/>
      <c r="V13"/>
    </row>
    <row r="14" spans="1:22" ht="21" customHeight="1">
      <c r="B14" s="248" t="s">
        <v>622</v>
      </c>
      <c r="C14" s="248"/>
      <c r="D14" s="312"/>
      <c r="E14" s="702" t="s">
        <v>627</v>
      </c>
      <c r="F14" s="702" t="s">
        <v>627</v>
      </c>
      <c r="G14" s="702" t="s">
        <v>627</v>
      </c>
      <c r="H14" s="702" t="s">
        <v>627</v>
      </c>
      <c r="I14" s="702" t="s">
        <v>627</v>
      </c>
      <c r="J14" s="702" t="s">
        <v>627</v>
      </c>
      <c r="K14" s="702" t="s">
        <v>627</v>
      </c>
      <c r="L14" s="643" t="s">
        <v>627</v>
      </c>
      <c r="P14"/>
      <c r="Q14"/>
      <c r="R14"/>
      <c r="S14"/>
      <c r="T14"/>
      <c r="U14"/>
      <c r="V14"/>
    </row>
    <row r="15" spans="1:22" ht="21" customHeight="1">
      <c r="A15" s="1367" t="s">
        <v>3141</v>
      </c>
      <c r="B15" s="495"/>
      <c r="C15" s="495"/>
      <c r="D15" s="499"/>
      <c r="E15" s="450"/>
      <c r="F15" s="450"/>
      <c r="G15" s="450"/>
      <c r="H15" s="450"/>
      <c r="I15" s="450"/>
      <c r="J15" s="450"/>
      <c r="K15" s="450"/>
      <c r="L15" s="753">
        <f t="shared" si="0"/>
        <v>0</v>
      </c>
      <c r="P15"/>
      <c r="Q15"/>
      <c r="R15"/>
      <c r="S15"/>
      <c r="T15"/>
      <c r="U15"/>
      <c r="V15"/>
    </row>
    <row r="16" spans="1:22" ht="21" customHeight="1">
      <c r="A16" s="1367"/>
      <c r="B16" s="495"/>
      <c r="C16" s="495"/>
      <c r="D16" s="499"/>
      <c r="E16" s="450"/>
      <c r="F16" s="450"/>
      <c r="G16" s="450"/>
      <c r="H16" s="450"/>
      <c r="I16" s="450"/>
      <c r="J16" s="450"/>
      <c r="K16" s="450"/>
      <c r="L16" s="753">
        <f t="shared" si="0"/>
        <v>0</v>
      </c>
      <c r="P16"/>
      <c r="Q16"/>
      <c r="R16"/>
      <c r="S16"/>
      <c r="T16"/>
      <c r="U16"/>
      <c r="V16"/>
    </row>
    <row r="17" spans="1:22" ht="21" customHeight="1">
      <c r="A17" s="1367"/>
      <c r="B17" s="495"/>
      <c r="C17" s="495"/>
      <c r="D17" s="499"/>
      <c r="E17" s="450"/>
      <c r="F17" s="450"/>
      <c r="G17" s="450"/>
      <c r="H17" s="450"/>
      <c r="I17" s="450"/>
      <c r="J17" s="450"/>
      <c r="K17" s="450"/>
      <c r="L17" s="753">
        <f t="shared" si="0"/>
        <v>0</v>
      </c>
      <c r="P17"/>
      <c r="Q17"/>
      <c r="R17"/>
      <c r="S17"/>
      <c r="T17"/>
      <c r="U17"/>
      <c r="V17"/>
    </row>
    <row r="18" spans="1:22" ht="21" customHeight="1">
      <c r="B18" s="495"/>
      <c r="C18" s="495"/>
      <c r="D18" s="499"/>
      <c r="E18" s="450"/>
      <c r="F18" s="450"/>
      <c r="G18" s="450"/>
      <c r="H18" s="450"/>
      <c r="I18" s="450"/>
      <c r="J18" s="450"/>
      <c r="K18" s="450"/>
      <c r="L18" s="753">
        <f t="shared" si="0"/>
        <v>0</v>
      </c>
      <c r="P18"/>
      <c r="Q18"/>
      <c r="R18"/>
      <c r="S18"/>
      <c r="T18"/>
      <c r="U18"/>
      <c r="V18"/>
    </row>
    <row r="19" spans="1:22" ht="21" customHeight="1">
      <c r="B19" s="248" t="s">
        <v>623</v>
      </c>
      <c r="C19" s="248"/>
      <c r="D19" s="312"/>
      <c r="E19" s="450"/>
      <c r="F19" s="450"/>
      <c r="G19" s="450"/>
      <c r="H19" s="450"/>
      <c r="I19" s="450"/>
      <c r="J19" s="450"/>
      <c r="K19" s="450"/>
      <c r="L19" s="753">
        <f t="shared" si="0"/>
        <v>0</v>
      </c>
      <c r="P19"/>
      <c r="Q19"/>
      <c r="R19"/>
      <c r="S19"/>
      <c r="T19"/>
      <c r="U19"/>
      <c r="V19"/>
    </row>
    <row r="20" spans="1:22" ht="21" customHeight="1">
      <c r="B20" s="248" t="s">
        <v>624</v>
      </c>
      <c r="C20" s="248"/>
      <c r="D20" s="312"/>
      <c r="E20" s="450"/>
      <c r="F20" s="450"/>
      <c r="G20" s="450"/>
      <c r="H20" s="450"/>
      <c r="I20" s="450"/>
      <c r="J20" s="450"/>
      <c r="K20" s="450"/>
      <c r="L20" s="753">
        <f t="shared" si="0"/>
        <v>0</v>
      </c>
      <c r="P20"/>
      <c r="Q20"/>
      <c r="R20"/>
      <c r="S20"/>
      <c r="T20"/>
      <c r="U20"/>
      <c r="V20"/>
    </row>
    <row r="21" spans="1:22" ht="21" customHeight="1">
      <c r="B21" s="248" t="s">
        <v>249</v>
      </c>
      <c r="C21" s="248"/>
      <c r="D21" s="312"/>
      <c r="E21" s="702" t="s">
        <v>627</v>
      </c>
      <c r="F21" s="702" t="s">
        <v>627</v>
      </c>
      <c r="G21" s="702" t="s">
        <v>627</v>
      </c>
      <c r="H21" s="702" t="s">
        <v>627</v>
      </c>
      <c r="I21" s="702" t="s">
        <v>627</v>
      </c>
      <c r="J21" s="702" t="s">
        <v>627</v>
      </c>
      <c r="K21" s="702" t="s">
        <v>627</v>
      </c>
      <c r="L21" s="643" t="s">
        <v>627</v>
      </c>
      <c r="P21"/>
      <c r="Q21"/>
      <c r="R21"/>
      <c r="S21"/>
      <c r="T21"/>
      <c r="U21"/>
      <c r="V21"/>
    </row>
    <row r="22" spans="1:22" ht="21" customHeight="1">
      <c r="B22" s="495"/>
      <c r="C22" s="495"/>
      <c r="D22" s="499"/>
      <c r="E22" s="450"/>
      <c r="F22" s="450"/>
      <c r="G22" s="450"/>
      <c r="H22" s="450"/>
      <c r="I22" s="450"/>
      <c r="J22" s="450"/>
      <c r="K22" s="450"/>
      <c r="L22" s="753">
        <f t="shared" si="0"/>
        <v>0</v>
      </c>
      <c r="P22"/>
      <c r="Q22"/>
      <c r="R22"/>
      <c r="S22"/>
      <c r="T22"/>
      <c r="U22"/>
      <c r="V22"/>
    </row>
    <row r="23" spans="1:22" ht="21" customHeight="1">
      <c r="B23" s="495"/>
      <c r="C23" s="495"/>
      <c r="D23" s="499"/>
      <c r="E23" s="450"/>
      <c r="F23" s="450"/>
      <c r="G23" s="450"/>
      <c r="H23" s="450"/>
      <c r="I23" s="450"/>
      <c r="J23" s="450"/>
      <c r="K23" s="450"/>
      <c r="L23" s="753">
        <f t="shared" si="0"/>
        <v>0</v>
      </c>
      <c r="P23"/>
      <c r="Q23"/>
      <c r="R23"/>
      <c r="S23"/>
      <c r="T23"/>
      <c r="U23"/>
      <c r="V23"/>
    </row>
    <row r="24" spans="1:22" ht="21" customHeight="1">
      <c r="B24" s="495"/>
      <c r="C24" s="495"/>
      <c r="D24" s="499"/>
      <c r="E24" s="450"/>
      <c r="F24" s="450"/>
      <c r="G24" s="450"/>
      <c r="H24" s="450"/>
      <c r="I24" s="450"/>
      <c r="J24" s="450"/>
      <c r="K24" s="450"/>
      <c r="L24" s="753">
        <f t="shared" si="0"/>
        <v>0</v>
      </c>
      <c r="P24"/>
      <c r="Q24"/>
      <c r="R24"/>
      <c r="S24"/>
      <c r="T24"/>
      <c r="U24"/>
      <c r="V24"/>
    </row>
    <row r="25" spans="1:22" ht="21" customHeight="1" thickBot="1">
      <c r="B25" s="495"/>
      <c r="C25" s="495"/>
      <c r="D25" s="499"/>
      <c r="E25" s="475"/>
      <c r="F25" s="475"/>
      <c r="G25" s="475"/>
      <c r="H25" s="475"/>
      <c r="I25" s="475"/>
      <c r="J25" s="475"/>
      <c r="K25" s="475"/>
      <c r="L25" s="796">
        <f t="shared" si="0"/>
        <v>0</v>
      </c>
    </row>
    <row r="26" spans="1:22" ht="21" customHeight="1" thickTop="1" thickBot="1">
      <c r="B26" s="311"/>
      <c r="C26" s="311"/>
      <c r="D26" s="310"/>
      <c r="E26" s="755">
        <f t="shared" ref="E26:K26" si="1">SUM(E9:E25)</f>
        <v>0</v>
      </c>
      <c r="F26" s="755">
        <f t="shared" si="1"/>
        <v>0</v>
      </c>
      <c r="G26" s="755">
        <f t="shared" si="1"/>
        <v>0</v>
      </c>
      <c r="H26" s="755">
        <f t="shared" si="1"/>
        <v>0</v>
      </c>
      <c r="I26" s="755">
        <f t="shared" si="1"/>
        <v>0</v>
      </c>
      <c r="J26" s="755">
        <f t="shared" si="1"/>
        <v>0</v>
      </c>
      <c r="K26" s="755">
        <f t="shared" si="1"/>
        <v>0</v>
      </c>
      <c r="L26" s="797">
        <f>SUM(L9:L25)</f>
        <v>0</v>
      </c>
    </row>
    <row r="27" spans="1:22" ht="13.8" thickTop="1">
      <c r="B27" s="309" t="s">
        <v>626</v>
      </c>
    </row>
  </sheetData>
  <sheetProtection algorithmName="SHA-512" hashValue="xpZd/yrHUA+wUFz+oIPHytKf930RoBsUjOS30phOVeKsEhbTxmlHmUv6D6W3h27oxpyHLzUgrvnVWTW7HgL4dQ==" saltValue="oraXZ5yhjXeU9IRAD4mesw==" spinCount="100000"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E44B3-C6FC-4007-9986-ADB31C680287}">
  <sheetPr codeName="Sheet275">
    <tabColor theme="3" tint="0.79998168889431442"/>
  </sheetPr>
  <dimension ref="B2:T55"/>
  <sheetViews>
    <sheetView zoomScaleNormal="100" zoomScaleSheetLayoutView="80" workbookViewId="0">
      <selection activeCell="L32" sqref="L32"/>
    </sheetView>
  </sheetViews>
  <sheetFormatPr defaultColWidth="8.88671875" defaultRowHeight="13.2"/>
  <cols>
    <col min="1" max="1" width="4.6640625" style="267" customWidth="1"/>
    <col min="2" max="3" width="3.6640625" style="267" customWidth="1"/>
    <col min="4" max="4" width="4.6640625" style="267" customWidth="1"/>
    <col min="5" max="5" width="8.88671875" style="267"/>
    <col min="6" max="6" width="16.6640625" style="267" customWidth="1"/>
    <col min="7" max="7" width="8.6640625" style="267" customWidth="1"/>
    <col min="8" max="10" width="16.6640625" style="267" customWidth="1"/>
    <col min="11" max="11" width="8.88671875" style="267"/>
    <col min="12" max="12" width="11.33203125" style="267" bestFit="1" customWidth="1"/>
    <col min="13" max="16384" width="8.88671875" style="267"/>
  </cols>
  <sheetData>
    <row r="2" spans="2:20" ht="22.8">
      <c r="B2" s="1358" t="str">
        <f>"SCHEDULE OF "&amp;UPPER('KEY INPUTS'!D59)&amp;" UTILITY BUDGET  -  "&amp;IF('KEY INPUTS'!C42="State Fiscal Year","FY "&amp;'KEY INPUTS'!D33&amp;"",'KEY INPUTS'!D34)&amp;""</f>
        <v>SCHEDULE OF  UTILITY BUDGET  -  2024</v>
      </c>
      <c r="C2" s="1358"/>
      <c r="D2" s="1358"/>
      <c r="E2" s="1358"/>
      <c r="F2" s="1358"/>
      <c r="G2" s="1358"/>
      <c r="H2" s="1358"/>
      <c r="I2" s="1358"/>
      <c r="J2" s="1358"/>
    </row>
    <row r="3" spans="2:20" ht="12" customHeight="1">
      <c r="B3" s="354"/>
      <c r="C3" s="354"/>
      <c r="D3" s="354"/>
      <c r="E3" s="354"/>
      <c r="F3" s="354"/>
      <c r="G3" s="354"/>
      <c r="H3" s="354"/>
      <c r="I3" s="354"/>
      <c r="J3" s="354"/>
    </row>
    <row r="4" spans="2:20" ht="17.25" customHeight="1" thickBot="1">
      <c r="B4" s="1372" t="s">
        <v>831</v>
      </c>
      <c r="C4" s="1372"/>
      <c r="D4" s="1372"/>
      <c r="E4" s="1372"/>
      <c r="F4" s="1372"/>
      <c r="G4" s="1372"/>
      <c r="H4" s="1372"/>
      <c r="I4" s="1372"/>
      <c r="J4" s="1372"/>
    </row>
    <row r="5" spans="2:20" ht="13.8" thickTop="1">
      <c r="B5" s="1368" t="s">
        <v>165</v>
      </c>
      <c r="C5" s="1368"/>
      <c r="D5" s="1368"/>
      <c r="E5" s="1368"/>
      <c r="F5" s="1368"/>
      <c r="G5" s="1369"/>
      <c r="H5" s="324" t="s">
        <v>534</v>
      </c>
      <c r="I5" s="324" t="s">
        <v>637</v>
      </c>
      <c r="J5" s="353" t="s">
        <v>319</v>
      </c>
    </row>
    <row r="6" spans="2:20" ht="13.8" thickBot="1">
      <c r="B6" s="1370"/>
      <c r="C6" s="1370"/>
      <c r="D6" s="1370"/>
      <c r="E6" s="1370"/>
      <c r="F6" s="1370"/>
      <c r="G6" s="1371"/>
      <c r="H6" s="352"/>
      <c r="I6" s="352" t="s">
        <v>318</v>
      </c>
      <c r="J6" s="351" t="s">
        <v>320</v>
      </c>
    </row>
    <row r="7" spans="2:20" ht="21" customHeight="1" thickTop="1">
      <c r="B7" s="313" t="s">
        <v>3154</v>
      </c>
      <c r="C7" s="313"/>
      <c r="D7" s="313"/>
      <c r="E7" s="313"/>
      <c r="F7" s="313"/>
      <c r="G7" s="350"/>
      <c r="H7" s="454"/>
      <c r="I7" s="887">
        <f>H7</f>
        <v>0</v>
      </c>
      <c r="J7" s="827">
        <f>+I7-H7</f>
        <v>0</v>
      </c>
    </row>
    <row r="8" spans="2:20" ht="10.5" customHeight="1">
      <c r="B8" s="309" t="s">
        <v>3153</v>
      </c>
      <c r="G8" s="347"/>
      <c r="H8" s="886"/>
      <c r="I8" s="886"/>
      <c r="J8" s="776"/>
    </row>
    <row r="9" spans="2:20">
      <c r="B9" s="333" t="s">
        <v>168</v>
      </c>
      <c r="C9" s="333"/>
      <c r="D9" s="333"/>
      <c r="E9" s="333"/>
      <c r="F9" s="333"/>
      <c r="G9" s="341"/>
      <c r="H9" s="500"/>
      <c r="I9" s="500"/>
      <c r="J9" s="638">
        <f t="shared" ref="J9:J15" si="0">+I9-H9</f>
        <v>0</v>
      </c>
    </row>
    <row r="10" spans="2:20" ht="21" customHeight="1">
      <c r="B10" s="495"/>
      <c r="C10" s="495"/>
      <c r="D10" s="495"/>
      <c r="E10" s="495"/>
      <c r="F10" s="495"/>
      <c r="G10" s="798"/>
      <c r="H10" s="596"/>
      <c r="I10" s="596"/>
      <c r="J10" s="888">
        <f t="shared" si="0"/>
        <v>0</v>
      </c>
      <c r="N10"/>
      <c r="O10"/>
      <c r="P10"/>
      <c r="Q10"/>
      <c r="R10"/>
      <c r="S10"/>
      <c r="T10"/>
    </row>
    <row r="11" spans="2:20" ht="21" customHeight="1">
      <c r="B11" s="495"/>
      <c r="C11" s="495"/>
      <c r="D11" s="495"/>
      <c r="E11" s="495"/>
      <c r="F11" s="495"/>
      <c r="G11" s="798"/>
      <c r="H11" s="596"/>
      <c r="I11" s="596"/>
      <c r="J11" s="780">
        <f t="shared" si="0"/>
        <v>0</v>
      </c>
      <c r="N11"/>
      <c r="O11"/>
      <c r="P11"/>
      <c r="Q11"/>
      <c r="R11"/>
      <c r="S11"/>
      <c r="T11"/>
    </row>
    <row r="12" spans="2:20" ht="21" customHeight="1">
      <c r="B12" s="495"/>
      <c r="C12" s="495"/>
      <c r="D12" s="495"/>
      <c r="E12" s="495"/>
      <c r="F12" s="495"/>
      <c r="G12" s="798"/>
      <c r="H12" s="596"/>
      <c r="I12" s="596"/>
      <c r="J12" s="780">
        <f t="shared" si="0"/>
        <v>0</v>
      </c>
      <c r="N12" s="294"/>
      <c r="O12"/>
      <c r="P12"/>
      <c r="Q12"/>
      <c r="R12"/>
      <c r="S12"/>
      <c r="T12"/>
    </row>
    <row r="13" spans="2:20" ht="21" customHeight="1">
      <c r="B13" s="495"/>
      <c r="C13" s="495"/>
      <c r="D13" s="495"/>
      <c r="E13" s="495"/>
      <c r="F13" s="495"/>
      <c r="G13" s="798"/>
      <c r="H13" s="596"/>
      <c r="I13" s="596"/>
      <c r="J13" s="780">
        <f t="shared" si="0"/>
        <v>0</v>
      </c>
      <c r="N13"/>
      <c r="O13"/>
      <c r="P13"/>
      <c r="Q13"/>
      <c r="R13"/>
      <c r="S13"/>
      <c r="T13"/>
    </row>
    <row r="14" spans="2:20" ht="21" customHeight="1">
      <c r="B14" s="495"/>
      <c r="C14" s="495"/>
      <c r="D14" s="495"/>
      <c r="E14" s="495"/>
      <c r="F14" s="495"/>
      <c r="G14" s="798"/>
      <c r="H14" s="596"/>
      <c r="I14" s="596"/>
      <c r="J14" s="780">
        <f t="shared" si="0"/>
        <v>0</v>
      </c>
      <c r="N14"/>
      <c r="O14"/>
      <c r="P14"/>
      <c r="Q14"/>
      <c r="R14"/>
      <c r="S14"/>
      <c r="T14"/>
    </row>
    <row r="15" spans="2:20" ht="21" customHeight="1">
      <c r="B15" s="248" t="s">
        <v>3152</v>
      </c>
      <c r="C15" s="248"/>
      <c r="D15" s="248"/>
      <c r="E15" s="248"/>
      <c r="F15" s="248"/>
      <c r="G15" s="341"/>
      <c r="H15" s="596"/>
      <c r="I15" s="596"/>
      <c r="J15" s="780">
        <f t="shared" si="0"/>
        <v>0</v>
      </c>
      <c r="N15"/>
      <c r="O15"/>
      <c r="P15"/>
      <c r="Q15"/>
      <c r="R15"/>
      <c r="S15"/>
      <c r="T15"/>
    </row>
    <row r="16" spans="2:20" ht="21" customHeight="1">
      <c r="B16" s="248" t="s">
        <v>3151</v>
      </c>
      <c r="C16" s="248"/>
      <c r="D16" s="248"/>
      <c r="E16" s="248"/>
      <c r="F16" s="248"/>
      <c r="G16" s="341"/>
      <c r="H16" s="596"/>
      <c r="I16" s="596"/>
      <c r="J16" s="780"/>
      <c r="N16"/>
      <c r="O16"/>
      <c r="P16"/>
      <c r="Q16"/>
      <c r="R16"/>
      <c r="S16"/>
      <c r="T16"/>
    </row>
    <row r="17" spans="2:20" ht="21" customHeight="1">
      <c r="B17" s="248" t="s">
        <v>3570</v>
      </c>
      <c r="C17" s="248"/>
      <c r="D17" s="248"/>
      <c r="E17" s="248"/>
      <c r="F17" s="248"/>
      <c r="G17" s="341"/>
      <c r="H17" s="804" t="s">
        <v>627</v>
      </c>
      <c r="I17" s="804" t="s">
        <v>627</v>
      </c>
      <c r="J17" s="885" t="s">
        <v>627</v>
      </c>
      <c r="N17"/>
      <c r="O17"/>
      <c r="P17"/>
      <c r="Q17"/>
      <c r="R17"/>
      <c r="S17"/>
      <c r="T17"/>
    </row>
    <row r="18" spans="2:20" ht="21" customHeight="1">
      <c r="B18" s="495"/>
      <c r="C18" s="495"/>
      <c r="D18" s="495"/>
      <c r="E18" s="495"/>
      <c r="F18" s="495"/>
      <c r="G18" s="495"/>
      <c r="H18" s="450"/>
      <c r="I18" s="450"/>
      <c r="J18" s="780">
        <f>I18-H18</f>
        <v>0</v>
      </c>
      <c r="N18"/>
      <c r="O18"/>
      <c r="P18"/>
      <c r="Q18"/>
      <c r="R18"/>
      <c r="S18"/>
      <c r="T18"/>
    </row>
    <row r="19" spans="2:20" ht="21" customHeight="1" thickBot="1">
      <c r="B19" s="495"/>
      <c r="C19" s="495"/>
      <c r="D19" s="495"/>
      <c r="E19" s="495"/>
      <c r="F19" s="495"/>
      <c r="G19" s="495"/>
      <c r="H19" s="475"/>
      <c r="I19" s="475"/>
      <c r="J19" s="989">
        <f>I19-H19</f>
        <v>0</v>
      </c>
      <c r="N19"/>
      <c r="O19"/>
      <c r="P19"/>
      <c r="Q19"/>
      <c r="R19"/>
      <c r="S19"/>
      <c r="T19"/>
    </row>
    <row r="20" spans="2:20" ht="21" customHeight="1" thickTop="1">
      <c r="B20" s="248"/>
      <c r="C20" s="248"/>
      <c r="D20" s="248" t="s">
        <v>317</v>
      </c>
      <c r="E20" s="248"/>
      <c r="F20" s="248"/>
      <c r="G20" s="344"/>
      <c r="H20" s="890">
        <f>SUM(H7:H19)</f>
        <v>0</v>
      </c>
      <c r="I20" s="890">
        <f>SUM(I7:I19)</f>
        <v>0</v>
      </c>
      <c r="J20" s="638">
        <f>SUM(J7:J19)</f>
        <v>0</v>
      </c>
      <c r="N20"/>
      <c r="O20"/>
      <c r="P20"/>
      <c r="Q20"/>
      <c r="R20"/>
      <c r="S20"/>
      <c r="T20"/>
    </row>
    <row r="21" spans="2:20" ht="21" customHeight="1" thickBot="1">
      <c r="B21" s="248" t="s">
        <v>3150</v>
      </c>
      <c r="C21" s="342"/>
      <c r="D21" s="342"/>
      <c r="E21" s="248"/>
      <c r="F21" s="248"/>
      <c r="G21" s="341"/>
      <c r="H21" s="501"/>
      <c r="I21" s="501"/>
      <c r="J21" s="776">
        <f>I21-H21</f>
        <v>0</v>
      </c>
      <c r="N21"/>
      <c r="O21"/>
      <c r="P21"/>
      <c r="Q21"/>
      <c r="R21"/>
      <c r="S21"/>
      <c r="T21"/>
    </row>
    <row r="22" spans="2:20" ht="21" customHeight="1" thickTop="1" thickBot="1">
      <c r="G22" s="340"/>
      <c r="H22" s="891">
        <f>+H20+H21</f>
        <v>0</v>
      </c>
      <c r="I22" s="891">
        <f>+I20+I21</f>
        <v>0</v>
      </c>
      <c r="J22" s="889">
        <f>+J20+J21</f>
        <v>0</v>
      </c>
      <c r="L22" s="301" t="s">
        <v>3131</v>
      </c>
      <c r="N22"/>
      <c r="O22"/>
      <c r="P22"/>
      <c r="Q22"/>
      <c r="R22"/>
      <c r="S22"/>
      <c r="T22"/>
    </row>
    <row r="23" spans="2:20" ht="13.8" thickTop="1">
      <c r="B23" s="309" t="s">
        <v>3149</v>
      </c>
      <c r="N23"/>
      <c r="O23"/>
      <c r="P23"/>
      <c r="Q23"/>
      <c r="R23"/>
      <c r="S23"/>
      <c r="T23"/>
    </row>
    <row r="24" spans="2:20">
      <c r="B24" s="309" t="s">
        <v>3148</v>
      </c>
      <c r="N24"/>
      <c r="O24"/>
      <c r="P24"/>
      <c r="Q24"/>
      <c r="R24"/>
      <c r="S24"/>
      <c r="T24"/>
    </row>
    <row r="25" spans="2:20">
      <c r="N25"/>
      <c r="O25"/>
      <c r="P25"/>
      <c r="Q25"/>
      <c r="R25"/>
      <c r="S25"/>
      <c r="T25"/>
    </row>
    <row r="26" spans="2:20">
      <c r="N26"/>
      <c r="O26"/>
      <c r="P26"/>
      <c r="Q26"/>
      <c r="R26"/>
      <c r="S26"/>
      <c r="T26"/>
    </row>
    <row r="27" spans="2:20" ht="17.25" customHeight="1" thickBot="1">
      <c r="B27" s="1372" t="s">
        <v>321</v>
      </c>
      <c r="C27" s="1372"/>
      <c r="D27" s="1372"/>
      <c r="E27" s="1372"/>
      <c r="F27" s="1372"/>
      <c r="G27" s="1372"/>
      <c r="H27" s="1372"/>
      <c r="I27" s="1372"/>
      <c r="J27" s="1372"/>
    </row>
    <row r="28" spans="2:20" ht="21" customHeight="1" thickTop="1">
      <c r="B28" s="337" t="s">
        <v>322</v>
      </c>
      <c r="C28" s="313"/>
      <c r="D28" s="313"/>
      <c r="E28" s="313"/>
      <c r="F28" s="313"/>
      <c r="G28" s="313"/>
      <c r="H28" s="313"/>
      <c r="I28" s="892"/>
      <c r="J28" s="893" t="s">
        <v>627</v>
      </c>
    </row>
    <row r="29" spans="2:20" ht="21" customHeight="1">
      <c r="B29" s="334"/>
      <c r="C29" s="333" t="s">
        <v>174</v>
      </c>
      <c r="D29" s="333"/>
      <c r="E29" s="333"/>
      <c r="F29" s="333"/>
      <c r="G29" s="333"/>
      <c r="H29" s="333"/>
      <c r="I29" s="894"/>
      <c r="J29" s="502"/>
    </row>
    <row r="30" spans="2:20" ht="21" customHeight="1">
      <c r="B30" s="334"/>
      <c r="C30" s="333" t="s">
        <v>3571</v>
      </c>
      <c r="D30" s="333"/>
      <c r="E30" s="333"/>
      <c r="F30" s="333"/>
      <c r="G30" s="333"/>
      <c r="H30" s="333"/>
      <c r="I30" s="894"/>
      <c r="J30" s="502"/>
    </row>
    <row r="31" spans="2:20" ht="21" customHeight="1" thickBot="1">
      <c r="B31" s="334"/>
      <c r="C31" s="333" t="s">
        <v>323</v>
      </c>
      <c r="D31" s="333"/>
      <c r="E31" s="333"/>
      <c r="F31" s="333"/>
      <c r="G31" s="333"/>
      <c r="H31" s="333"/>
      <c r="I31" s="894"/>
      <c r="J31" s="503"/>
    </row>
    <row r="32" spans="2:20" ht="21" customHeight="1" thickTop="1">
      <c r="B32" s="334" t="s">
        <v>324</v>
      </c>
      <c r="C32" s="333"/>
      <c r="D32" s="333"/>
      <c r="E32" s="333"/>
      <c r="F32" s="333"/>
      <c r="G32" s="333"/>
      <c r="H32" s="333"/>
      <c r="I32" s="895"/>
      <c r="J32" s="896">
        <f>SUM(J29:J31)</f>
        <v>0</v>
      </c>
    </row>
    <row r="33" spans="2:13" ht="21" customHeight="1" thickBot="1">
      <c r="B33" s="334" t="s">
        <v>325</v>
      </c>
      <c r="C33" s="333"/>
      <c r="D33" s="333"/>
      <c r="E33" s="333"/>
      <c r="F33" s="333"/>
      <c r="G33" s="333"/>
      <c r="H33" s="333"/>
      <c r="I33" s="895"/>
      <c r="J33" s="503"/>
    </row>
    <row r="34" spans="2:13" ht="21" customHeight="1" thickTop="1">
      <c r="B34" s="334" t="s">
        <v>726</v>
      </c>
      <c r="C34" s="333"/>
      <c r="D34" s="333"/>
      <c r="E34" s="333"/>
      <c r="F34" s="333"/>
      <c r="G34" s="333"/>
      <c r="H34" s="333"/>
      <c r="I34" s="895"/>
      <c r="J34" s="896">
        <f>+J32+J33</f>
        <v>0</v>
      </c>
    </row>
    <row r="35" spans="2:13" ht="21" customHeight="1">
      <c r="B35" s="334" t="s">
        <v>326</v>
      </c>
      <c r="C35" s="333"/>
      <c r="D35" s="333"/>
      <c r="E35" s="333"/>
      <c r="F35" s="333"/>
      <c r="G35" s="333"/>
      <c r="H35" s="333"/>
      <c r="I35" s="895"/>
      <c r="J35" s="897"/>
    </row>
    <row r="36" spans="2:13" ht="21" customHeight="1">
      <c r="B36" s="248"/>
      <c r="C36" s="248" t="s">
        <v>593</v>
      </c>
      <c r="D36" s="248"/>
      <c r="E36" s="248"/>
      <c r="F36" s="248"/>
      <c r="G36" s="248"/>
      <c r="H36" s="248"/>
      <c r="I36" s="504"/>
      <c r="J36" s="898"/>
    </row>
    <row r="37" spans="2:13" ht="21" customHeight="1">
      <c r="B37" s="248"/>
      <c r="C37" s="248" t="s">
        <v>730</v>
      </c>
      <c r="D37" s="248"/>
      <c r="E37" s="248"/>
      <c r="F37" s="248"/>
      <c r="G37" s="248"/>
      <c r="H37" s="248"/>
      <c r="I37" s="504"/>
      <c r="J37" s="898"/>
    </row>
    <row r="38" spans="2:13" ht="21" customHeight="1" thickBot="1">
      <c r="B38" s="248" t="s">
        <v>327</v>
      </c>
      <c r="C38" s="248"/>
      <c r="D38" s="248"/>
      <c r="E38" s="248"/>
      <c r="F38" s="248"/>
      <c r="G38" s="248"/>
      <c r="H38" s="248"/>
      <c r="I38" s="505"/>
      <c r="J38" s="502"/>
      <c r="M38" s="301"/>
    </row>
    <row r="39" spans="2:13" ht="21" customHeight="1" thickTop="1" thickBot="1">
      <c r="B39" s="248" t="s">
        <v>731</v>
      </c>
      <c r="C39" s="248"/>
      <c r="D39" s="248"/>
      <c r="E39" s="248"/>
      <c r="F39" s="248"/>
      <c r="G39" s="248"/>
      <c r="H39" s="248"/>
      <c r="I39" s="899"/>
      <c r="J39" s="327">
        <f>SUM(I36:I38)</f>
        <v>0</v>
      </c>
    </row>
    <row r="40" spans="2:13" ht="21" customHeight="1" thickTop="1" thickBot="1">
      <c r="B40" s="248" t="s">
        <v>328</v>
      </c>
      <c r="C40" s="248"/>
      <c r="D40" s="248"/>
      <c r="E40" s="248"/>
      <c r="F40" s="248"/>
      <c r="G40" s="248"/>
      <c r="H40" s="248"/>
      <c r="I40" s="900"/>
      <c r="J40" s="325">
        <f>+J34-J39</f>
        <v>0</v>
      </c>
      <c r="K40" s="301"/>
    </row>
    <row r="41" spans="2:13" ht="13.8" thickTop="1"/>
    <row r="42" spans="2:13">
      <c r="B42" s="309" t="s">
        <v>3147</v>
      </c>
      <c r="C42" s="309"/>
      <c r="D42" s="309"/>
      <c r="E42" s="309"/>
      <c r="F42" s="309"/>
    </row>
    <row r="43" spans="2:13">
      <c r="B43" s="309"/>
      <c r="C43" s="309" t="s">
        <v>3146</v>
      </c>
      <c r="D43" s="309"/>
      <c r="E43" s="309"/>
      <c r="F43" s="309"/>
    </row>
    <row r="44" spans="2:13">
      <c r="B44" s="309"/>
      <c r="C44" s="309"/>
      <c r="D44" s="309" t="s">
        <v>3145</v>
      </c>
      <c r="E44" s="309"/>
      <c r="F44" s="309"/>
      <c r="M44" s="301"/>
    </row>
    <row r="45" spans="2:13">
      <c r="B45" s="309"/>
      <c r="C45" s="309" t="s">
        <v>39</v>
      </c>
      <c r="D45" s="309"/>
      <c r="E45" s="309"/>
      <c r="F45" s="309"/>
    </row>
    <row r="46" spans="2:13">
      <c r="B46" s="309"/>
      <c r="C46" s="309" t="s">
        <v>3144</v>
      </c>
      <c r="D46" s="309"/>
      <c r="E46" s="309"/>
      <c r="F46" s="309"/>
    </row>
    <row r="47" spans="2:13">
      <c r="B47" s="309"/>
      <c r="C47" s="309"/>
      <c r="D47" s="309" t="s">
        <v>3143</v>
      </c>
      <c r="E47" s="309"/>
      <c r="F47" s="309"/>
    </row>
    <row r="48" spans="2:13">
      <c r="B48" s="309"/>
      <c r="C48" s="309"/>
      <c r="D48" s="309"/>
      <c r="E48" s="309"/>
      <c r="F48" s="309"/>
    </row>
    <row r="55" spans="2:10" ht="13.8">
      <c r="B55" s="1353" t="s">
        <v>3142</v>
      </c>
      <c r="C55" s="1353"/>
      <c r="D55" s="1353"/>
      <c r="E55" s="1353"/>
      <c r="F55" s="1353"/>
      <c r="G55" s="1353"/>
      <c r="H55" s="1353"/>
      <c r="I55" s="1353"/>
      <c r="J55" s="1353"/>
    </row>
  </sheetData>
  <sheetProtection algorithmName="SHA-512" hashValue="K4KX27ypkyeYed9/koo5zhvjAWGrP3iseiFtvqyYPEmrDN8MM9quvYsU2au28p95N20dCjFD0RqLKpif7hSGyw==" saltValue="ubLx5NLp28wtkVVaCW5Vag=="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CEE32-7A10-43BE-BF1C-61CCF1EB2215}">
  <sheetPr codeName="Sheet276">
    <tabColor theme="3" tint="0.79998168889431442"/>
  </sheetPr>
  <dimension ref="B1:T57"/>
  <sheetViews>
    <sheetView zoomScaleNormal="100" zoomScaleSheetLayoutView="80" workbookViewId="0">
      <selection activeCell="P38" sqref="P38"/>
    </sheetView>
  </sheetViews>
  <sheetFormatPr defaultColWidth="8.88671875" defaultRowHeight="13.2"/>
  <cols>
    <col min="1" max="1" width="4.6640625" style="267" customWidth="1"/>
    <col min="2" max="2" width="6.109375" style="267" customWidth="1"/>
    <col min="3" max="3" width="3.33203125" style="267" customWidth="1"/>
    <col min="4" max="4" width="2.6640625" style="267" customWidth="1"/>
    <col min="5" max="5" width="8.88671875" style="267"/>
    <col min="6" max="6" width="5.88671875" style="267" customWidth="1"/>
    <col min="7" max="7" width="8.88671875" style="267"/>
    <col min="8" max="8" width="16" style="267" customWidth="1"/>
    <col min="9" max="9" width="8.88671875" style="267"/>
    <col min="10" max="11" width="16.6640625" style="267" customWidth="1"/>
    <col min="12" max="12" width="8.88671875" style="267"/>
    <col min="13" max="13" width="11.33203125" style="267" customWidth="1"/>
    <col min="14" max="16384" width="8.88671875" style="267"/>
  </cols>
  <sheetData>
    <row r="1" spans="2:20">
      <c r="B1" s="513"/>
    </row>
    <row r="3" spans="2:20" ht="22.8">
      <c r="B3" s="1358" t="str">
        <f>"STATEMENT  OF  "&amp;IF('KEY INPUTS'!C42="State Fiscal Year","FISCAL  YEAR  "&amp;'KEY INPUTS'!D33&amp;"",'KEY INPUTS'!D34)&amp;"  OPERATION"</f>
        <v>STATEMENT  OF  2024  OPERATION</v>
      </c>
      <c r="C3" s="1358"/>
      <c r="D3" s="1358"/>
      <c r="E3" s="1358"/>
      <c r="F3" s="1358"/>
      <c r="G3" s="1358"/>
      <c r="H3" s="1358"/>
      <c r="I3" s="1358"/>
      <c r="J3" s="1358"/>
      <c r="K3" s="1358"/>
    </row>
    <row r="5" spans="2:20" ht="20.399999999999999">
      <c r="B5" s="1363" t="str">
        <f>UPPER('KEY INPUTS'!D59)&amp;" UTILITY"</f>
        <v xml:space="preserve"> UTILITY</v>
      </c>
      <c r="C5" s="1363"/>
      <c r="D5" s="1363"/>
      <c r="E5" s="1363"/>
      <c r="F5" s="1363"/>
      <c r="G5" s="1363"/>
      <c r="H5" s="1363"/>
      <c r="I5" s="1363"/>
      <c r="J5" s="1363"/>
      <c r="K5" s="1363"/>
    </row>
    <row r="8" spans="2:20">
      <c r="B8" s="267" t="s">
        <v>313</v>
      </c>
      <c r="C8" s="267" t="str">
        <f>"Section 1 of this sheet is required to be filled out ONLY IF the "&amp;IF('KEY INPUTS'!C42="State Fiscal Year","Fiscal Year "&amp;'KEY INPUTS'!D33&amp;"",'KEY INPUTS'!D34)&amp;" "&amp;PROPER('KEY INPUTS'!D59)&amp;" Utility Budget contained"</f>
        <v>Section 1 of this sheet is required to be filled out ONLY IF the 2024  Utility Budget contained</v>
      </c>
    </row>
    <row r="9" spans="2:20">
      <c r="C9" s="267" t="s">
        <v>329</v>
      </c>
    </row>
    <row r="10" spans="2:20">
      <c r="C10" s="267" t="s">
        <v>330</v>
      </c>
    </row>
    <row r="11" spans="2:20">
      <c r="C11" s="799" t="s">
        <v>3158</v>
      </c>
    </row>
    <row r="13" spans="2:20" ht="17.399999999999999">
      <c r="B13" s="800" t="s">
        <v>331</v>
      </c>
    </row>
    <row r="14" spans="2:20" ht="13.8" thickBot="1">
      <c r="B14" s="318"/>
      <c r="C14" s="318"/>
      <c r="D14" s="318"/>
      <c r="E14" s="318"/>
      <c r="F14" s="318"/>
      <c r="G14" s="318"/>
      <c r="H14" s="318"/>
      <c r="I14" s="318"/>
      <c r="J14" s="318"/>
      <c r="K14" s="318"/>
    </row>
    <row r="15" spans="2:20" ht="21" customHeight="1" thickTop="1">
      <c r="B15" s="313" t="s">
        <v>332</v>
      </c>
      <c r="C15" s="313"/>
      <c r="D15" s="313"/>
      <c r="E15" s="313"/>
      <c r="F15" s="313"/>
      <c r="G15" s="313"/>
      <c r="H15" s="313"/>
      <c r="I15" s="313"/>
      <c r="J15" s="801" t="s">
        <v>627</v>
      </c>
      <c r="K15" s="628"/>
      <c r="N15"/>
      <c r="O15"/>
      <c r="P15"/>
      <c r="Q15"/>
      <c r="R15"/>
      <c r="S15"/>
      <c r="T15"/>
    </row>
    <row r="16" spans="2:20" ht="21" customHeight="1">
      <c r="B16" s="248"/>
      <c r="C16" s="248" t="s">
        <v>333</v>
      </c>
      <c r="D16" s="248"/>
      <c r="E16" s="248"/>
      <c r="F16" s="248"/>
      <c r="G16" s="248"/>
      <c r="H16" s="248"/>
      <c r="I16" s="248"/>
      <c r="J16" s="629">
        <f>+'44-Utility6'!I20</f>
        <v>0</v>
      </c>
      <c r="K16" s="628"/>
      <c r="N16"/>
      <c r="O16"/>
      <c r="P16"/>
      <c r="Q16"/>
      <c r="R16"/>
      <c r="S16"/>
      <c r="T16"/>
    </row>
    <row r="17" spans="2:20" ht="21" customHeight="1">
      <c r="B17" s="248"/>
      <c r="C17" s="248" t="s">
        <v>334</v>
      </c>
      <c r="D17" s="248"/>
      <c r="E17" s="248"/>
      <c r="F17" s="248"/>
      <c r="G17" s="248"/>
      <c r="H17" s="248"/>
      <c r="I17" s="248"/>
      <c r="J17" s="426"/>
      <c r="K17" s="628"/>
      <c r="N17" s="294"/>
      <c r="O17"/>
      <c r="P17"/>
      <c r="Q17"/>
      <c r="R17"/>
      <c r="S17"/>
      <c r="T17"/>
    </row>
    <row r="18" spans="2:20" ht="21" customHeight="1">
      <c r="B18" s="248"/>
      <c r="C18" s="248" t="str">
        <f>IF('KEY INPUTS'!C42="State Fiscal Year","FY "&amp;'KEY INPUTS'!D33-1&amp;"",'KEY INPUTS'!D34-1)&amp;" Appropriation Reserves Canceled in "&amp;IF('KEY INPUTS'!C42="State Fiscal Year","FY "&amp;'KEY INPUTS'!D33&amp;"",'KEY INPUTS'!D34)</f>
        <v>2023 Appropriation Reserves Canceled in 2024</v>
      </c>
      <c r="D18" s="802"/>
      <c r="E18" s="802"/>
      <c r="F18" s="802"/>
      <c r="G18" s="802"/>
      <c r="H18" s="248"/>
      <c r="I18" s="248"/>
      <c r="J18" s="291"/>
      <c r="K18" s="628"/>
      <c r="N18"/>
      <c r="O18"/>
      <c r="P18"/>
      <c r="Q18"/>
      <c r="R18"/>
      <c r="S18"/>
      <c r="T18"/>
    </row>
    <row r="19" spans="2:20" ht="21" customHeight="1">
      <c r="B19" s="248"/>
      <c r="C19" s="495"/>
      <c r="D19" s="495"/>
      <c r="E19" s="495"/>
      <c r="F19" s="495"/>
      <c r="G19" s="495"/>
      <c r="H19" s="495"/>
      <c r="I19" s="495"/>
      <c r="J19" s="291"/>
      <c r="K19" s="628"/>
      <c r="N19"/>
      <c r="O19"/>
      <c r="P19"/>
      <c r="Q19"/>
      <c r="R19"/>
      <c r="S19"/>
      <c r="T19"/>
    </row>
    <row r="20" spans="2:20" ht="21" customHeight="1">
      <c r="B20" s="248"/>
      <c r="C20" s="495"/>
      <c r="D20" s="495"/>
      <c r="E20" s="495"/>
      <c r="F20" s="495"/>
      <c r="G20" s="495"/>
      <c r="H20" s="495"/>
      <c r="I20" s="495"/>
      <c r="J20" s="291"/>
      <c r="K20" s="628"/>
      <c r="N20"/>
      <c r="O20"/>
      <c r="P20"/>
      <c r="Q20"/>
      <c r="R20"/>
      <c r="S20"/>
      <c r="T20"/>
    </row>
    <row r="21" spans="2:20" ht="21" customHeight="1">
      <c r="B21" s="248"/>
      <c r="C21" s="248" t="s">
        <v>335</v>
      </c>
      <c r="D21" s="248"/>
      <c r="E21" s="248"/>
      <c r="F21" s="248"/>
      <c r="G21" s="248"/>
      <c r="H21" s="248"/>
      <c r="I21" s="248"/>
      <c r="J21" s="426"/>
      <c r="K21" s="636">
        <f>SUM(J16:J20)</f>
        <v>0</v>
      </c>
      <c r="N21"/>
      <c r="O21"/>
      <c r="P21"/>
      <c r="Q21"/>
      <c r="R21"/>
      <c r="S21"/>
      <c r="T21"/>
    </row>
    <row r="22" spans="2:20" ht="21" customHeight="1">
      <c r="B22" s="248" t="s">
        <v>336</v>
      </c>
      <c r="C22" s="248"/>
      <c r="D22" s="248"/>
      <c r="E22" s="248"/>
      <c r="F22" s="248"/>
      <c r="G22" s="248"/>
      <c r="H22" s="248"/>
      <c r="I22" s="248"/>
      <c r="J22" s="804" t="s">
        <v>627</v>
      </c>
      <c r="K22" s="628"/>
      <c r="N22"/>
      <c r="O22"/>
      <c r="P22"/>
      <c r="Q22"/>
      <c r="R22"/>
      <c r="S22"/>
      <c r="T22"/>
    </row>
    <row r="23" spans="2:20" ht="21" customHeight="1">
      <c r="B23" s="248"/>
      <c r="C23" s="248" t="s">
        <v>337</v>
      </c>
      <c r="D23" s="248"/>
      <c r="E23" s="248"/>
      <c r="F23" s="248"/>
      <c r="G23" s="248"/>
      <c r="H23" s="248"/>
      <c r="I23" s="248"/>
      <c r="J23" s="804" t="s">
        <v>627</v>
      </c>
      <c r="K23" s="628"/>
      <c r="N23"/>
      <c r="O23"/>
      <c r="P23"/>
      <c r="Q23"/>
      <c r="R23"/>
      <c r="S23"/>
      <c r="T23"/>
    </row>
    <row r="24" spans="2:20" ht="21" customHeight="1">
      <c r="B24" s="248"/>
      <c r="C24" s="248"/>
      <c r="D24" s="248" t="s">
        <v>593</v>
      </c>
      <c r="E24" s="248"/>
      <c r="F24" s="248"/>
      <c r="G24" s="248"/>
      <c r="H24" s="248"/>
      <c r="I24" s="248"/>
      <c r="J24" s="629">
        <f>+'44-Utility6'!I36</f>
        <v>0</v>
      </c>
      <c r="K24" s="628"/>
      <c r="N24"/>
      <c r="O24"/>
      <c r="P24"/>
      <c r="Q24"/>
      <c r="R24"/>
      <c r="S24"/>
      <c r="T24"/>
    </row>
    <row r="25" spans="2:20" ht="21" customHeight="1">
      <c r="B25" s="248"/>
      <c r="C25" s="248"/>
      <c r="D25" s="248" t="s">
        <v>730</v>
      </c>
      <c r="E25" s="248"/>
      <c r="F25" s="248"/>
      <c r="G25" s="248"/>
      <c r="H25" s="248"/>
      <c r="I25" s="248"/>
      <c r="J25" s="629">
        <f>+'44-Utility6'!I37</f>
        <v>0</v>
      </c>
      <c r="K25" s="628"/>
      <c r="N25"/>
      <c r="O25"/>
      <c r="P25"/>
      <c r="Q25"/>
      <c r="R25"/>
      <c r="S25"/>
      <c r="T25"/>
    </row>
    <row r="26" spans="2:20" ht="21" customHeight="1">
      <c r="B26" s="248"/>
      <c r="C26" s="248" t="s">
        <v>338</v>
      </c>
      <c r="D26" s="248"/>
      <c r="E26" s="248"/>
      <c r="F26" s="248"/>
      <c r="G26" s="248"/>
      <c r="H26" s="248"/>
      <c r="I26" s="248"/>
      <c r="J26" s="426"/>
      <c r="K26" s="628"/>
      <c r="N26"/>
      <c r="O26"/>
      <c r="P26"/>
      <c r="Q26"/>
      <c r="R26"/>
      <c r="S26"/>
      <c r="T26"/>
    </row>
    <row r="27" spans="2:20" ht="21" customHeight="1">
      <c r="B27" s="248"/>
      <c r="C27" s="248" t="s">
        <v>339</v>
      </c>
      <c r="D27" s="248"/>
      <c r="E27" s="248"/>
      <c r="F27" s="248"/>
      <c r="G27" s="248"/>
      <c r="H27" s="248"/>
      <c r="I27" s="248"/>
      <c r="J27" s="426"/>
      <c r="K27" s="628"/>
      <c r="N27"/>
      <c r="O27"/>
      <c r="P27"/>
      <c r="Q27"/>
      <c r="R27"/>
      <c r="S27"/>
      <c r="T27"/>
    </row>
    <row r="28" spans="2:20" ht="21" customHeight="1" thickBot="1">
      <c r="B28" s="248"/>
      <c r="C28" s="495"/>
      <c r="D28" s="495"/>
      <c r="E28" s="495"/>
      <c r="F28" s="495"/>
      <c r="G28" s="495"/>
      <c r="H28" s="495"/>
      <c r="I28" s="495"/>
      <c r="J28" s="725"/>
      <c r="K28" s="628"/>
      <c r="N28"/>
      <c r="O28"/>
      <c r="P28"/>
      <c r="Q28"/>
      <c r="R28"/>
      <c r="S28"/>
      <c r="T28"/>
    </row>
    <row r="29" spans="2:20" ht="21" customHeight="1">
      <c r="B29" s="248"/>
      <c r="C29" s="248"/>
      <c r="D29" s="248"/>
      <c r="E29" s="248"/>
      <c r="F29" s="248" t="s">
        <v>731</v>
      </c>
      <c r="G29" s="248"/>
      <c r="H29" s="248"/>
      <c r="I29" s="248"/>
      <c r="J29" s="633">
        <f>SUM(J24:J28)</f>
        <v>0</v>
      </c>
      <c r="K29" s="628"/>
      <c r="N29"/>
      <c r="O29"/>
      <c r="P29"/>
      <c r="Q29"/>
      <c r="R29"/>
      <c r="S29"/>
      <c r="T29"/>
    </row>
    <row r="30" spans="2:20" ht="11.25" customHeight="1">
      <c r="F30" s="267" t="s">
        <v>755</v>
      </c>
      <c r="G30" s="267" t="s">
        <v>756</v>
      </c>
      <c r="J30" s="807"/>
      <c r="K30" s="628"/>
      <c r="N30"/>
      <c r="O30"/>
      <c r="P30"/>
      <c r="Q30"/>
      <c r="R30"/>
      <c r="S30"/>
      <c r="T30"/>
    </row>
    <row r="31" spans="2:20" ht="13.5" customHeight="1">
      <c r="B31" s="333"/>
      <c r="C31" s="333"/>
      <c r="D31" s="333"/>
      <c r="E31" s="333"/>
      <c r="F31" s="333"/>
      <c r="G31" s="333" t="s">
        <v>757</v>
      </c>
      <c r="H31" s="333"/>
      <c r="I31" s="808"/>
      <c r="J31" s="962"/>
      <c r="K31" s="805"/>
      <c r="N31"/>
      <c r="O31"/>
      <c r="P31"/>
      <c r="Q31"/>
      <c r="R31"/>
      <c r="S31"/>
      <c r="T31"/>
    </row>
    <row r="32" spans="2:20" ht="21" customHeight="1" thickBot="1">
      <c r="B32" s="810"/>
      <c r="C32" s="810"/>
      <c r="D32" s="810" t="s">
        <v>758</v>
      </c>
      <c r="E32" s="810"/>
      <c r="F32" s="810"/>
      <c r="G32" s="810"/>
      <c r="H32" s="810"/>
      <c r="I32" s="810"/>
      <c r="J32" s="811"/>
      <c r="K32" s="806">
        <f>+J29-J31</f>
        <v>0</v>
      </c>
    </row>
    <row r="33" spans="2:15" ht="21" customHeight="1" thickTop="1" thickBot="1">
      <c r="B33" s="812" t="s">
        <v>759</v>
      </c>
      <c r="C33" s="812"/>
      <c r="D33" s="812"/>
      <c r="E33" s="812"/>
      <c r="F33" s="812"/>
      <c r="G33" s="812"/>
      <c r="H33" s="812"/>
      <c r="I33" s="812"/>
      <c r="J33" s="813"/>
      <c r="K33" s="814">
        <f>IF(M33&gt;0,M33,0)</f>
        <v>0</v>
      </c>
      <c r="M33" s="301">
        <f>+K21-K32</f>
        <v>0</v>
      </c>
      <c r="N33" s="550" t="s">
        <v>3371</v>
      </c>
    </row>
    <row r="34" spans="2:15" ht="21" customHeight="1">
      <c r="B34" s="248" t="s">
        <v>760</v>
      </c>
      <c r="C34" s="248"/>
      <c r="D34" s="248"/>
      <c r="E34" s="248"/>
      <c r="F34" s="248"/>
      <c r="G34" s="248"/>
      <c r="H34" s="248"/>
      <c r="I34" s="248"/>
      <c r="J34" s="426"/>
      <c r="K34" s="628"/>
    </row>
    <row r="35" spans="2:15" ht="11.25" customHeight="1">
      <c r="B35" s="1375" t="s">
        <v>761</v>
      </c>
      <c r="C35" s="1375"/>
      <c r="D35" s="1375"/>
      <c r="E35" s="267" t="str">
        <f>"Balance of Results of "&amp;IF('KEY INPUTS'!C42="State Fiscal Year","Fiscal Year "&amp;'KEY INPUTS'!D33&amp;"",'KEY INPUTS'!D34)&amp;" Operation"</f>
        <v>Balance of Results of 2024 Operation</v>
      </c>
      <c r="J35" s="807"/>
      <c r="K35" s="628"/>
    </row>
    <row r="36" spans="2:15" ht="12.75" customHeight="1" thickBot="1">
      <c r="B36" s="1376"/>
      <c r="C36" s="1376"/>
      <c r="D36" s="1376"/>
      <c r="E36" s="333" t="s">
        <v>3481</v>
      </c>
      <c r="F36" s="333"/>
      <c r="G36" s="333"/>
      <c r="H36" s="333"/>
      <c r="I36" s="333"/>
      <c r="J36" s="809">
        <f>+K33-J34</f>
        <v>0</v>
      </c>
      <c r="K36" s="628"/>
    </row>
    <row r="37" spans="2:15" ht="21" customHeight="1" thickBot="1">
      <c r="B37" s="819"/>
      <c r="C37" s="819"/>
      <c r="D37" s="819"/>
      <c r="E37" s="819"/>
      <c r="F37" s="819"/>
      <c r="G37" s="819"/>
      <c r="H37" s="819"/>
      <c r="I37" s="819"/>
      <c r="J37" s="820"/>
      <c r="K37" s="815"/>
    </row>
    <row r="38" spans="2:15" ht="21" customHeight="1" thickBot="1">
      <c r="B38" s="357" t="s">
        <v>762</v>
      </c>
      <c r="C38" s="357"/>
      <c r="D38" s="357"/>
      <c r="E38" s="357"/>
      <c r="F38" s="357"/>
      <c r="G38" s="357"/>
      <c r="H38" s="357"/>
      <c r="I38" s="357"/>
      <c r="J38" s="821"/>
      <c r="K38" s="816">
        <f>IF(+M33&gt;0,0,+M33*-1)</f>
        <v>0</v>
      </c>
    </row>
    <row r="39" spans="2:15" ht="21" customHeight="1">
      <c r="B39" s="248" t="s">
        <v>763</v>
      </c>
      <c r="C39" s="248"/>
      <c r="D39" s="248"/>
      <c r="E39" s="248"/>
      <c r="F39" s="248"/>
      <c r="G39" s="248"/>
      <c r="H39" s="248"/>
      <c r="I39" s="248"/>
      <c r="J39" s="821">
        <f>+'44-Utility6'!I21</f>
        <v>0</v>
      </c>
      <c r="K39" s="628"/>
    </row>
    <row r="40" spans="2:15">
      <c r="B40" s="1377" t="s">
        <v>761</v>
      </c>
      <c r="C40" s="1377"/>
      <c r="D40" s="1377"/>
      <c r="E40" s="267" t="str">
        <f>"Balance of Results of "&amp;IF('KEY INPUTS'!C42="State Fiscal Year","Fiscal Year "&amp;'KEY INPUTS'!D33&amp;"",'KEY INPUTS'!D34)&amp;" Operation"</f>
        <v>Balance of Results of 2024 Operation</v>
      </c>
      <c r="J40" s="807"/>
      <c r="K40" s="817"/>
    </row>
    <row r="41" spans="2:15" ht="13.8" thickBot="1">
      <c r="B41" s="1378"/>
      <c r="C41" s="1378"/>
      <c r="D41" s="1378"/>
      <c r="E41" s="318" t="s">
        <v>3157</v>
      </c>
      <c r="F41" s="318"/>
      <c r="G41" s="318"/>
      <c r="H41" s="318"/>
      <c r="I41" s="318"/>
      <c r="J41" s="822">
        <f>+K38-J39</f>
        <v>0</v>
      </c>
      <c r="K41" s="818"/>
      <c r="L41" s="573"/>
      <c r="O41" s="301"/>
    </row>
    <row r="42" spans="2:15" ht="13.8" thickTop="1">
      <c r="J42" s="355"/>
      <c r="K42" s="355"/>
    </row>
    <row r="43" spans="2:15" ht="17.399999999999999">
      <c r="B43" s="800" t="s">
        <v>764</v>
      </c>
      <c r="J43" s="628"/>
      <c r="K43" s="628"/>
    </row>
    <row r="44" spans="2:15">
      <c r="B44" s="267" t="str">
        <f>"The following Item of '"&amp;IF('KEY INPUTS'!C42="State Fiscal Year","Fiscal Year "&amp;'KEY INPUTS'!D33-1&amp;"",'KEY INPUTS'!D34-1)&amp;" Appropriation Reserves Canceled in "&amp;IF('KEY INPUTS'!C42="State Fiscal Year","Fiscal Year "&amp;'KEY INPUTS'!D33&amp;"",'KEY INPUTS'!D34)&amp;"' is Due to the Current"</f>
        <v>The following Item of '2023 Appropriation Reserves Canceled in 2024' is Due to the Current</v>
      </c>
      <c r="J44" s="628"/>
      <c r="K44" s="628"/>
    </row>
    <row r="45" spans="2:15">
      <c r="B45" s="267" t="str">
        <f>"fund TO THE EXTENT OF the amount received and Due from the General Budget of "&amp;IF('KEY INPUTS'!C42="State Fiscal Year","Fiscal Year "&amp;'KEY INPUTS'!D33-1&amp;"",'KEY INPUTS'!D34-1)&amp;" for an"</f>
        <v>fund TO THE EXTENT OF the amount received and Due from the General Budget of 2023 for an</v>
      </c>
      <c r="J45" s="628"/>
      <c r="K45" s="628"/>
    </row>
    <row r="46" spans="2:15">
      <c r="B46" s="267" t="str">
        <f>"Anticipated Deficit in the "&amp;PROPER('KEY INPUTS'!D59)&amp;" Utility for "&amp;IF('KEY INPUTS'!C42="State Fiscal Year","Fiscal Year "&amp;'KEY INPUTS'!D33-1&amp;"",'KEY INPUTS'!D34-1)&amp;""</f>
        <v>Anticipated Deficit in the  Utility for 2023</v>
      </c>
      <c r="J46" s="628"/>
      <c r="K46" s="628"/>
      <c r="O46"/>
    </row>
    <row r="47" spans="2:15">
      <c r="J47" s="628"/>
      <c r="K47" s="628"/>
      <c r="O47"/>
    </row>
    <row r="48" spans="2:15" ht="21" customHeight="1">
      <c r="B48" s="248" t="str">
        <f>IF('KEY INPUTS'!C42="State Fiscal Year","Fiscal Year "&amp;'KEY INPUTS'!D33-1&amp;"",'KEY INPUTS'!D34-1)&amp;" Appropriation Reserves Canceled in "&amp;IF('KEY INPUTS'!C42="State Fiscal Year","Fiscal Year "&amp;'KEY INPUTS'!D33&amp;"",'KEY INPUTS'!D34)&amp;""</f>
        <v>2023 Appropriation Reserves Canceled in 2024</v>
      </c>
      <c r="C48" s="248"/>
      <c r="D48" s="248"/>
      <c r="E48" s="248"/>
      <c r="F48" s="248"/>
      <c r="G48" s="248"/>
      <c r="H48" s="248"/>
      <c r="I48" s="248"/>
      <c r="J48" s="291"/>
      <c r="K48" s="628"/>
      <c r="O48"/>
    </row>
    <row r="49" spans="2:15" ht="24" customHeight="1">
      <c r="B49" s="248"/>
      <c r="C49" s="823" t="s">
        <v>755</v>
      </c>
      <c r="D49" s="248"/>
      <c r="E49" s="1373" t="str">
        <f>"Anticipated Deficit in "&amp;IF('KEY INPUTS'!C42="State Fiscal Year","Fiscal Year "&amp;'KEY INPUTS'!D33-1&amp;"",'KEY INPUTS'!D34-1)&amp;" Budget - Amount Received and Due from Current Fund - If none, enter 'None '"</f>
        <v>Anticipated Deficit in 2023 Budget - Amount Received and Due from Current Fund - If none, enter 'None '</v>
      </c>
      <c r="F49" s="1373"/>
      <c r="G49" s="1373"/>
      <c r="H49" s="1373"/>
      <c r="I49" s="1374"/>
      <c r="J49" s="426"/>
      <c r="K49" s="628"/>
      <c r="O49"/>
    </row>
    <row r="50" spans="2:15" ht="21" customHeight="1">
      <c r="B50" s="248" t="s">
        <v>765</v>
      </c>
      <c r="C50" s="248"/>
      <c r="D50" s="248"/>
      <c r="E50" s="248"/>
      <c r="F50" s="248"/>
      <c r="G50" s="248"/>
      <c r="H50" s="248"/>
      <c r="I50" s="248"/>
      <c r="J50" s="509"/>
      <c r="K50" s="636">
        <f>+MAX(0,J48-J49)</f>
        <v>0</v>
      </c>
    </row>
    <row r="52" spans="2:15">
      <c r="B52" s="267" t="s">
        <v>3156</v>
      </c>
    </row>
    <row r="57" spans="2:15" ht="13.8">
      <c r="B57" s="1353" t="s">
        <v>3155</v>
      </c>
      <c r="C57" s="1353"/>
      <c r="D57" s="1353"/>
      <c r="E57" s="1353"/>
      <c r="F57" s="1353"/>
      <c r="G57" s="1353"/>
      <c r="H57" s="1353"/>
      <c r="I57" s="1353"/>
      <c r="J57" s="1353"/>
      <c r="K57" s="1353"/>
    </row>
  </sheetData>
  <sheetProtection algorithmName="SHA-512" hashValue="FwHyVr9xMu+InFOcHPMNTcWDzMb9t2ErzTEalEiXwet0VTS+UTzji8Q6SfWItwNS15f+1XzayMjXlpnryr7j8A==" saltValue="kBPKe07qro5b7O3Jbv3+Fg==" spinCount="100000"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966AF-1CF7-4441-8CA9-421EDE8B7684}">
  <sheetPr codeName="Sheet277">
    <tabColor theme="3" tint="0.79998168889431442"/>
  </sheetPr>
  <dimension ref="B2:Z52"/>
  <sheetViews>
    <sheetView zoomScaleNormal="100" zoomScaleSheetLayoutView="80" workbookViewId="0">
      <selection activeCell="B7" sqref="B7"/>
    </sheetView>
  </sheetViews>
  <sheetFormatPr defaultColWidth="8.88671875" defaultRowHeight="13.2"/>
  <cols>
    <col min="1" max="5" width="4.6640625" style="267" customWidth="1"/>
    <col min="6" max="8" width="8.88671875" style="267"/>
    <col min="9" max="9" width="6.33203125" style="267" customWidth="1"/>
    <col min="10" max="10" width="8.88671875" style="267"/>
    <col min="11" max="12" width="16.6640625" style="267" customWidth="1"/>
    <col min="13" max="13" width="13.5546875" style="267" bestFit="1" customWidth="1"/>
    <col min="14" max="14" width="11.88671875" style="267" bestFit="1" customWidth="1"/>
    <col min="15" max="16384" width="8.88671875" style="267"/>
  </cols>
  <sheetData>
    <row r="2" spans="2:26" ht="20.399999999999999">
      <c r="B2" s="1363" t="str">
        <f>"RESULTS  OF  "&amp;IF('KEY INPUTS'!C42="State Fiscal Year","FY  "&amp;'KEY INPUTS'!D33&amp;"",'KEY INPUTS'!D34)&amp;"  OPERATIONS  - "&amp;UPPER('KEY INPUTS'!D59)&amp;" UTILITY"</f>
        <v>RESULTS  OF  2024  OPERATIONS  -  UTILITY</v>
      </c>
      <c r="C2" s="1363"/>
      <c r="D2" s="1363"/>
      <c r="E2" s="1363"/>
      <c r="F2" s="1363"/>
      <c r="G2" s="1363"/>
      <c r="H2" s="1363"/>
      <c r="I2" s="1363"/>
      <c r="J2" s="1363"/>
      <c r="K2" s="1363"/>
      <c r="L2" s="1363"/>
    </row>
    <row r="3" spans="2:26" ht="13.8" thickBot="1"/>
    <row r="4" spans="2:26" ht="21" customHeight="1" thickTop="1" thickBot="1">
      <c r="B4" s="364"/>
      <c r="C4" s="364"/>
      <c r="D4" s="364"/>
      <c r="E4" s="364"/>
      <c r="F4" s="364"/>
      <c r="G4" s="364"/>
      <c r="H4" s="364"/>
      <c r="I4" s="364"/>
      <c r="J4" s="364"/>
      <c r="K4" s="304" t="s">
        <v>96</v>
      </c>
      <c r="L4" s="308" t="s">
        <v>97</v>
      </c>
    </row>
    <row r="5" spans="2:26" ht="21" customHeight="1" thickTop="1">
      <c r="B5" s="831" t="s">
        <v>209</v>
      </c>
      <c r="C5" s="313"/>
      <c r="D5" s="313"/>
      <c r="E5" s="313"/>
      <c r="F5" s="313"/>
      <c r="G5" s="313"/>
      <c r="H5" s="313"/>
      <c r="I5" s="313"/>
      <c r="J5" s="313"/>
      <c r="K5" s="826" t="s">
        <v>627</v>
      </c>
      <c r="L5" s="827">
        <f>IF(+'44-Utility6'!J22&gt;0,+'44-Utility6'!J22,0)</f>
        <v>0</v>
      </c>
      <c r="N5"/>
      <c r="O5"/>
      <c r="P5"/>
      <c r="Q5"/>
      <c r="R5"/>
      <c r="S5"/>
      <c r="T5"/>
    </row>
    <row r="6" spans="2:26" ht="21" customHeight="1">
      <c r="B6" s="802" t="s">
        <v>3601</v>
      </c>
      <c r="C6" s="248"/>
      <c r="D6" s="248"/>
      <c r="E6" s="248"/>
      <c r="F6" s="248"/>
      <c r="G6" s="248"/>
      <c r="H6" s="248"/>
      <c r="I6" s="248"/>
      <c r="J6" s="248"/>
      <c r="K6" s="828" t="s">
        <v>627</v>
      </c>
      <c r="L6" s="780">
        <f>+'44-Utility6'!J40</f>
        <v>0</v>
      </c>
      <c r="M6" s="573"/>
      <c r="N6"/>
      <c r="O6"/>
      <c r="P6"/>
      <c r="Q6"/>
      <c r="R6"/>
      <c r="S6"/>
      <c r="T6"/>
    </row>
    <row r="7" spans="2:26" ht="21" customHeight="1">
      <c r="B7" s="538" t="s">
        <v>210</v>
      </c>
      <c r="C7" s="248"/>
      <c r="D7" s="248"/>
      <c r="E7" s="248"/>
      <c r="F7" s="248"/>
      <c r="G7" s="248"/>
      <c r="H7" s="248"/>
      <c r="I7" s="248"/>
      <c r="J7" s="248"/>
      <c r="K7" s="828" t="s">
        <v>627</v>
      </c>
      <c r="L7" s="780">
        <f>'45-Utility6'!J17</f>
        <v>0</v>
      </c>
      <c r="N7" s="294"/>
      <c r="O7"/>
      <c r="P7"/>
      <c r="Q7"/>
      <c r="R7"/>
      <c r="S7"/>
      <c r="T7"/>
    </row>
    <row r="8" spans="2:26" ht="21" customHeight="1">
      <c r="B8" s="267" t="str">
        <f>"Unexpended Balances of "&amp;IF('KEY INPUTS'!C42="State Fiscal Year","FY "&amp;'KEY INPUTS'!D33-1&amp;"",'KEY INPUTS'!D34-1)&amp;" Appropriation Reserves*"</f>
        <v>Unexpended Balances of 2023 Appropriation Reserves*</v>
      </c>
      <c r="C8" s="248"/>
      <c r="D8" s="248"/>
      <c r="E8" s="248"/>
      <c r="F8" s="248"/>
      <c r="G8" s="248"/>
      <c r="H8" s="248"/>
      <c r="I8" s="248"/>
      <c r="J8" s="248"/>
      <c r="K8" s="828" t="s">
        <v>627</v>
      </c>
      <c r="L8" s="780">
        <f>+'45-Utility6'!K50</f>
        <v>0</v>
      </c>
      <c r="N8"/>
      <c r="O8"/>
      <c r="P8"/>
      <c r="Q8"/>
      <c r="R8"/>
      <c r="S8"/>
      <c r="T8"/>
    </row>
    <row r="9" spans="2:26" ht="21" customHeight="1">
      <c r="B9" s="544"/>
      <c r="C9" s="495"/>
      <c r="D9" s="495"/>
      <c r="E9" s="495"/>
      <c r="F9" s="495"/>
      <c r="G9" s="495"/>
      <c r="H9" s="495"/>
      <c r="I9" s="248"/>
      <c r="J9" s="248"/>
      <c r="K9" s="504"/>
      <c r="L9" s="457"/>
      <c r="N9"/>
      <c r="O9"/>
      <c r="P9"/>
      <c r="Q9"/>
      <c r="R9"/>
      <c r="S9"/>
      <c r="T9"/>
    </row>
    <row r="10" spans="2:26" ht="21" customHeight="1">
      <c r="B10" s="267" t="s">
        <v>3162</v>
      </c>
      <c r="K10" s="533">
        <f>IF(+'44-Utility6'!J22&lt;0,-'44-Utility6'!J22,0)</f>
        <v>0</v>
      </c>
      <c r="L10" s="829" t="s">
        <v>627</v>
      </c>
      <c r="M10" s="301">
        <f>+L9+L8+L7+L6+L5-K11-K10-K9</f>
        <v>0</v>
      </c>
      <c r="N10" s="550" t="s">
        <v>3371</v>
      </c>
      <c r="O10"/>
      <c r="P10"/>
      <c r="Q10"/>
      <c r="R10"/>
      <c r="S10"/>
      <c r="T10"/>
      <c r="V10" s="366">
        <f>-'44-Utility6'!U22</f>
        <v>0</v>
      </c>
    </row>
    <row r="11" spans="2:26" ht="21" customHeight="1">
      <c r="B11" s="544"/>
      <c r="C11" s="824"/>
      <c r="D11" s="495"/>
      <c r="E11" s="495"/>
      <c r="F11" s="495"/>
      <c r="G11" s="495"/>
      <c r="H11" s="495"/>
      <c r="I11" s="248"/>
      <c r="J11" s="248"/>
      <c r="K11" s="450"/>
      <c r="L11" s="829" t="s">
        <v>627</v>
      </c>
      <c r="N11"/>
      <c r="O11"/>
      <c r="P11"/>
      <c r="Q11"/>
      <c r="R11"/>
      <c r="S11"/>
      <c r="T11"/>
      <c r="U11"/>
      <c r="V11"/>
      <c r="W11"/>
      <c r="X11"/>
      <c r="Y11"/>
      <c r="Z11"/>
    </row>
    <row r="12" spans="2:26" ht="21" customHeight="1">
      <c r="B12" s="538" t="s">
        <v>211</v>
      </c>
      <c r="C12" s="802"/>
      <c r="D12" s="248"/>
      <c r="E12" s="248"/>
      <c r="F12" s="248"/>
      <c r="G12" s="248"/>
      <c r="H12" s="248"/>
      <c r="I12" s="248"/>
      <c r="J12" s="248"/>
      <c r="K12" s="828" t="s">
        <v>627</v>
      </c>
      <c r="L12" s="365">
        <f>IF(M10&gt;0,0,M10*-1)</f>
        <v>0</v>
      </c>
      <c r="N12"/>
      <c r="O12"/>
      <c r="P12"/>
      <c r="Q12"/>
      <c r="R12"/>
      <c r="S12"/>
      <c r="T12"/>
      <c r="U12"/>
      <c r="V12"/>
      <c r="W12"/>
      <c r="X12"/>
      <c r="Y12"/>
      <c r="Z12"/>
    </row>
    <row r="13" spans="2:26" ht="21" customHeight="1" thickBot="1">
      <c r="B13" s="538" t="s">
        <v>212</v>
      </c>
      <c r="C13" s="802"/>
      <c r="D13" s="248"/>
      <c r="E13" s="248"/>
      <c r="F13" s="248"/>
      <c r="G13" s="248"/>
      <c r="H13" s="248"/>
      <c r="I13" s="248"/>
      <c r="J13" s="248"/>
      <c r="K13" s="533">
        <f>IF(M10&gt;0,M10,0)</f>
        <v>0</v>
      </c>
      <c r="L13" s="830" t="s">
        <v>627</v>
      </c>
      <c r="M13" s="301"/>
      <c r="N13"/>
      <c r="O13"/>
      <c r="P13"/>
      <c r="Q13"/>
      <c r="R13"/>
      <c r="S13"/>
      <c r="T13"/>
      <c r="U13"/>
      <c r="V13" s="365">
        <f>U11</f>
        <v>0</v>
      </c>
      <c r="W13"/>
      <c r="X13"/>
      <c r="Y13"/>
      <c r="Z13"/>
    </row>
    <row r="14" spans="2:26" ht="21" customHeight="1" thickBot="1">
      <c r="B14" s="309" t="s">
        <v>3161</v>
      </c>
      <c r="K14" s="785">
        <f>SUM(K5:K13)</f>
        <v>0</v>
      </c>
      <c r="L14" s="786">
        <f>SUM(L5:L13)</f>
        <v>0</v>
      </c>
      <c r="M14" s="301">
        <f>L14-K14</f>
        <v>0</v>
      </c>
      <c r="N14" s="550" t="s">
        <v>3371</v>
      </c>
      <c r="O14"/>
      <c r="P14"/>
      <c r="Q14"/>
      <c r="R14"/>
      <c r="S14"/>
      <c r="T14"/>
      <c r="U14"/>
      <c r="V14"/>
      <c r="W14"/>
      <c r="X14"/>
      <c r="Y14"/>
      <c r="Z14"/>
    </row>
    <row r="15" spans="2:26" ht="18.75" customHeight="1" thickTop="1">
      <c r="N15"/>
      <c r="O15"/>
      <c r="P15"/>
      <c r="Q15"/>
      <c r="R15"/>
      <c r="S15"/>
      <c r="T15"/>
    </row>
    <row r="16" spans="2:26" ht="18.75" customHeight="1">
      <c r="K16" s="301"/>
      <c r="N16"/>
      <c r="O16"/>
      <c r="P16"/>
      <c r="Q16"/>
      <c r="R16"/>
      <c r="S16"/>
      <c r="T16"/>
    </row>
    <row r="17" spans="2:20" ht="22.8">
      <c r="B17" s="1358" t="str">
        <f>"OPERATING  SURPLUS  - "&amp;UPPER('KEY INPUTS'!D59)&amp;" UTILITY"</f>
        <v>OPERATING  SURPLUS  -  UTILITY</v>
      </c>
      <c r="C17" s="1358"/>
      <c r="D17" s="1358"/>
      <c r="E17" s="1358"/>
      <c r="F17" s="1358"/>
      <c r="G17" s="1358"/>
      <c r="H17" s="1358"/>
      <c r="I17" s="1358"/>
      <c r="J17" s="1358"/>
      <c r="K17" s="1358"/>
      <c r="L17" s="1358"/>
      <c r="N17"/>
      <c r="O17"/>
      <c r="P17"/>
      <c r="Q17"/>
      <c r="R17"/>
      <c r="S17"/>
      <c r="T17"/>
    </row>
    <row r="18" spans="2:20" ht="6.75" customHeight="1" thickBot="1">
      <c r="N18"/>
      <c r="O18"/>
      <c r="P18"/>
      <c r="Q18"/>
      <c r="R18"/>
      <c r="S18"/>
      <c r="T18"/>
    </row>
    <row r="19" spans="2:20" ht="25.5" customHeight="1" thickTop="1" thickBot="1">
      <c r="B19" s="364"/>
      <c r="C19" s="364"/>
      <c r="D19" s="364"/>
      <c r="E19" s="364"/>
      <c r="F19" s="364"/>
      <c r="G19" s="364"/>
      <c r="H19" s="364"/>
      <c r="I19" s="364"/>
      <c r="J19" s="364"/>
      <c r="K19" s="304" t="s">
        <v>96</v>
      </c>
      <c r="L19" s="308" t="s">
        <v>97</v>
      </c>
      <c r="N19"/>
      <c r="O19"/>
      <c r="P19"/>
      <c r="Q19"/>
      <c r="R19"/>
      <c r="S19"/>
      <c r="T19"/>
    </row>
    <row r="20" spans="2:20" ht="21" customHeight="1" thickTop="1">
      <c r="B20" s="363" t="str">
        <f>IF('KEY INPUTS'!C42 = "State Fiscal Year", 'KEY INPUTS'!F25,'KEY INPUTS'!D25)</f>
        <v>Balance - January 1, 2024</v>
      </c>
      <c r="C20" s="313"/>
      <c r="D20" s="313"/>
      <c r="E20" s="313"/>
      <c r="F20" s="313"/>
      <c r="G20" s="313"/>
      <c r="H20" s="313"/>
      <c r="I20" s="313"/>
      <c r="J20" s="313"/>
      <c r="K20" s="826" t="s">
        <v>627</v>
      </c>
      <c r="L20" s="486"/>
      <c r="N20"/>
      <c r="O20"/>
      <c r="P20"/>
      <c r="Q20"/>
      <c r="R20"/>
      <c r="S20"/>
      <c r="T20"/>
    </row>
    <row r="21" spans="2:20" ht="21" customHeight="1">
      <c r="B21" s="524"/>
      <c r="C21" s="495"/>
      <c r="D21" s="495"/>
      <c r="E21" s="495"/>
      <c r="F21" s="495"/>
      <c r="G21" s="495"/>
      <c r="H21" s="495"/>
      <c r="I21" s="495"/>
      <c r="J21" s="495"/>
      <c r="K21" s="529"/>
      <c r="L21" s="457"/>
      <c r="N21"/>
      <c r="O21"/>
      <c r="P21"/>
      <c r="Q21"/>
      <c r="R21"/>
      <c r="S21"/>
      <c r="T21"/>
    </row>
    <row r="22" spans="2:20" ht="21" customHeight="1">
      <c r="B22" s="248" t="str">
        <f>"Excess in Results of "&amp;IF('KEY INPUTS'!C42="State Fiscal Year","Fiscal Year "&amp;'KEY INPUTS'!D33&amp;"",'KEY INPUTS'!D34)&amp;" Operations"</f>
        <v>Excess in Results of 2024 Operations</v>
      </c>
      <c r="C22" s="248"/>
      <c r="D22" s="248"/>
      <c r="E22" s="248"/>
      <c r="F22" s="248"/>
      <c r="G22" s="248"/>
      <c r="H22" s="248"/>
      <c r="I22" s="248"/>
      <c r="J22" s="248"/>
      <c r="K22" s="828" t="s">
        <v>627</v>
      </c>
      <c r="L22" s="780">
        <f>+K13</f>
        <v>0</v>
      </c>
    </row>
    <row r="23" spans="2:20" ht="21" customHeight="1">
      <c r="B23" s="248" t="str">
        <f>"Amount Appropriated in the "&amp;IF('KEY INPUTS'!C42="State Fiscal Year","FY "&amp;'KEY INPUTS'!D33&amp;"",'KEY INPUTS'!D34)&amp;" Budget - Cash"</f>
        <v>Amount Appropriated in the 2024 Budget - Cash</v>
      </c>
      <c r="C23" s="248"/>
      <c r="D23" s="248"/>
      <c r="E23" s="248"/>
      <c r="F23" s="248"/>
      <c r="G23" s="248"/>
      <c r="H23" s="248"/>
      <c r="I23" s="248"/>
      <c r="J23" s="248"/>
      <c r="K23" s="533">
        <f>'44-Utility6'!I7</f>
        <v>0</v>
      </c>
      <c r="L23" s="829" t="s">
        <v>627</v>
      </c>
    </row>
    <row r="24" spans="2:20">
      <c r="B24" s="267" t="str">
        <f>"Amount Appropriated in "&amp;IF('KEY INPUTS'!C42="State Fiscal Year","FY "&amp;'KEY INPUTS'!D33&amp;"",'KEY INPUTS'!D34)&amp;" Budget with Prior Written"</f>
        <v>Amount Appropriated in 2024 Budget with Prior Written</v>
      </c>
      <c r="K24" s="1382"/>
      <c r="L24" s="1384" t="s">
        <v>627</v>
      </c>
    </row>
    <row r="25" spans="2:20" ht="12.75" customHeight="1">
      <c r="B25" s="333" t="s">
        <v>841</v>
      </c>
      <c r="C25" s="333"/>
      <c r="D25" s="333"/>
      <c r="E25" s="333"/>
      <c r="F25" s="333"/>
      <c r="G25" s="333"/>
      <c r="H25" s="333"/>
      <c r="I25" s="333"/>
      <c r="J25" s="333"/>
      <c r="K25" s="1383"/>
      <c r="L25" s="1385"/>
    </row>
    <row r="26" spans="2:20" ht="21" customHeight="1">
      <c r="B26" s="524"/>
      <c r="C26" s="495"/>
      <c r="D26" s="495"/>
      <c r="E26" s="495"/>
      <c r="F26" s="495"/>
      <c r="G26" s="495"/>
      <c r="H26" s="495"/>
      <c r="I26" s="495"/>
      <c r="J26" s="495"/>
      <c r="K26" s="450"/>
      <c r="L26" s="495"/>
    </row>
    <row r="27" spans="2:20" ht="21" customHeight="1" thickBot="1">
      <c r="B27" s="248" t="str">
        <f>IF('KEY INPUTS'!C42 = "State Fiscal Year", 'KEY INPUTS'!F26,'KEY INPUTS'!D26)</f>
        <v>Balance - December 31, 2024</v>
      </c>
      <c r="C27" s="248"/>
      <c r="D27" s="248"/>
      <c r="E27" s="248"/>
      <c r="F27" s="248"/>
      <c r="G27" s="248"/>
      <c r="H27" s="248"/>
      <c r="I27" s="248"/>
      <c r="J27" s="248"/>
      <c r="K27" s="783">
        <f>+SUM(L20:L26)-SUM(K21:K26)</f>
        <v>0</v>
      </c>
      <c r="L27" s="830" t="s">
        <v>627</v>
      </c>
      <c r="N27" s="593" t="s">
        <v>3246</v>
      </c>
    </row>
    <row r="28" spans="2:20" ht="21" customHeight="1" thickBot="1">
      <c r="K28" s="785">
        <f>SUM(K21:K27)</f>
        <v>0</v>
      </c>
      <c r="L28" s="786">
        <f>SUM(L20:L27)</f>
        <v>0</v>
      </c>
    </row>
    <row r="29" spans="2:20" ht="13.8" thickTop="1"/>
    <row r="32" spans="2:20" ht="17.399999999999999">
      <c r="B32" s="1380" t="str">
        <f>"ANALYSIS  OF  BALANCE  "&amp;IF('KEY INPUTS'!C42="State Fiscal Year","JUNE  30,  "&amp;'KEY INPUTS'!D33&amp;"","DECEMBER 31, "&amp;'KEY INPUTS'!D34&amp;"")</f>
        <v>ANALYSIS  OF  BALANCE  DECEMBER 31, 2024</v>
      </c>
      <c r="C32" s="1380"/>
      <c r="D32" s="1380"/>
      <c r="E32" s="1380"/>
      <c r="F32" s="1380"/>
      <c r="G32" s="1380"/>
      <c r="H32" s="1380"/>
      <c r="I32" s="1380"/>
      <c r="J32" s="1380"/>
      <c r="K32" s="1380"/>
      <c r="L32" s="1380"/>
    </row>
    <row r="33" spans="2:14" ht="17.399999999999999">
      <c r="B33" s="1380" t="str">
        <f>"(FROM "&amp;UPPER('KEY INPUTS'!D59)&amp;" UTILITY  -  TRIAL  BALANCE)"</f>
        <v>(FROM  UTILITY  -  TRIAL  BALANCE)</v>
      </c>
      <c r="C33" s="1380"/>
      <c r="D33" s="1380"/>
      <c r="E33" s="1380"/>
      <c r="F33" s="1380"/>
      <c r="G33" s="1380"/>
      <c r="H33" s="1380"/>
      <c r="I33" s="1380"/>
      <c r="J33" s="1380"/>
      <c r="K33" s="1380"/>
      <c r="L33" s="1380"/>
    </row>
    <row r="34" spans="2:14" ht="13.8" thickBot="1"/>
    <row r="35" spans="2:14" ht="21" customHeight="1" thickTop="1">
      <c r="B35" s="313" t="s">
        <v>194</v>
      </c>
      <c r="C35" s="313"/>
      <c r="D35" s="313"/>
      <c r="E35" s="313"/>
      <c r="F35" s="313"/>
      <c r="G35" s="313"/>
      <c r="H35" s="313"/>
      <c r="I35" s="313"/>
      <c r="J35" s="313"/>
      <c r="K35" s="409"/>
      <c r="L35" s="833">
        <f>+'41-Utility6'!G13</f>
        <v>0</v>
      </c>
    </row>
    <row r="36" spans="2:14" ht="21" customHeight="1">
      <c r="B36" s="248" t="s">
        <v>315</v>
      </c>
      <c r="C36" s="248"/>
      <c r="D36" s="248"/>
      <c r="E36" s="248"/>
      <c r="F36" s="248"/>
      <c r="G36" s="248"/>
      <c r="H36" s="248"/>
      <c r="I36" s="248"/>
      <c r="J36" s="248"/>
      <c r="K36" s="407"/>
      <c r="L36" s="479"/>
    </row>
    <row r="37" spans="2:14" ht="21" customHeight="1" thickBot="1">
      <c r="B37" s="248" t="s">
        <v>663</v>
      </c>
      <c r="C37" s="248"/>
      <c r="D37" s="248"/>
      <c r="E37" s="248"/>
      <c r="F37" s="248"/>
      <c r="G37" s="248"/>
      <c r="H37" s="248"/>
      <c r="I37" s="248"/>
      <c r="J37" s="248"/>
      <c r="K37" s="407"/>
      <c r="L37" s="481"/>
    </row>
    <row r="38" spans="2:14" ht="21" customHeight="1" thickTop="1">
      <c r="B38" s="248"/>
      <c r="C38" s="248"/>
      <c r="D38" s="248" t="s">
        <v>317</v>
      </c>
      <c r="E38" s="248"/>
      <c r="F38" s="248"/>
      <c r="G38" s="248"/>
      <c r="H38" s="248"/>
      <c r="I38" s="248"/>
      <c r="J38" s="248"/>
      <c r="K38" s="407"/>
      <c r="L38" s="834">
        <f>SUM(L35:L37)</f>
        <v>0</v>
      </c>
    </row>
    <row r="39" spans="2:14" ht="21" customHeight="1" thickBot="1">
      <c r="B39" s="248" t="s">
        <v>362</v>
      </c>
      <c r="C39" s="248"/>
      <c r="D39" s="248"/>
      <c r="E39" s="248"/>
      <c r="F39" s="248"/>
      <c r="G39" s="248"/>
      <c r="H39" s="248"/>
      <c r="I39" s="248"/>
      <c r="J39" s="248"/>
      <c r="K39" s="407"/>
      <c r="L39" s="835">
        <f>+'41-Utility6'!H39</f>
        <v>0</v>
      </c>
    </row>
    <row r="40" spans="2:14" ht="21" customHeight="1" thickTop="1">
      <c r="B40" s="248"/>
      <c r="C40" s="248"/>
      <c r="D40" s="248" t="s">
        <v>207</v>
      </c>
      <c r="E40" s="248"/>
      <c r="F40" s="248"/>
      <c r="G40" s="248"/>
      <c r="H40" s="248"/>
      <c r="I40" s="248"/>
      <c r="J40" s="248"/>
      <c r="K40" s="407"/>
      <c r="L40" s="834">
        <f>+L38-L39</f>
        <v>0</v>
      </c>
    </row>
    <row r="41" spans="2:14" ht="21" customHeight="1">
      <c r="B41" s="248" t="s">
        <v>369</v>
      </c>
      <c r="C41" s="248"/>
      <c r="D41" s="248"/>
      <c r="E41" s="248"/>
      <c r="F41" s="248"/>
      <c r="G41" s="248"/>
      <c r="H41" s="248"/>
      <c r="I41" s="248"/>
      <c r="J41" s="248"/>
      <c r="K41" s="312"/>
      <c r="L41" s="777"/>
    </row>
    <row r="42" spans="2:14" ht="22.5" customHeight="1">
      <c r="B42" s="248"/>
      <c r="C42" s="1379" t="s">
        <v>365</v>
      </c>
      <c r="D42" s="1379"/>
      <c r="E42" s="1379"/>
      <c r="F42" s="1379"/>
      <c r="G42" s="1379"/>
      <c r="H42" s="838"/>
      <c r="I42" s="248"/>
      <c r="J42" s="248"/>
      <c r="K42" s="450"/>
      <c r="L42" s="777"/>
    </row>
    <row r="43" spans="2:14" ht="21" customHeight="1">
      <c r="B43" s="248"/>
      <c r="C43" s="248" t="s">
        <v>208</v>
      </c>
      <c r="D43" s="248"/>
      <c r="E43" s="248"/>
      <c r="F43" s="248"/>
      <c r="G43" s="248"/>
      <c r="H43" s="248"/>
      <c r="I43" s="248"/>
      <c r="J43" s="248"/>
      <c r="K43" s="450"/>
      <c r="L43" s="777"/>
      <c r="M43" s="301"/>
      <c r="N43" s="301"/>
    </row>
    <row r="44" spans="2:14" ht="21" customHeight="1" thickBot="1">
      <c r="B44" s="248"/>
      <c r="C44" s="248"/>
      <c r="D44" s="248" t="s">
        <v>367</v>
      </c>
      <c r="E44" s="248"/>
      <c r="F44" s="248"/>
      <c r="G44" s="248"/>
      <c r="H44" s="248"/>
      <c r="I44" s="248"/>
      <c r="J44" s="248"/>
      <c r="K44" s="837"/>
      <c r="L44" s="784">
        <f>SUM(K42:K43)</f>
        <v>0</v>
      </c>
    </row>
    <row r="45" spans="2:14" ht="21" customHeight="1" thickBot="1">
      <c r="B45" s="361" t="str">
        <f>"# MAY NOT BE ANTICIPATED AS NON-CASH SURPLUS IN "&amp;TEXT('KEY INPUTS'!D34,"0")&amp;" BUDGET."</f>
        <v># MAY NOT BE ANTICIPATED AS NON-CASH SURPLUS IN 2024 BUDGET.</v>
      </c>
      <c r="K45" s="360"/>
      <c r="L45" s="836">
        <f>+L40+L44</f>
        <v>0</v>
      </c>
      <c r="M45" s="301"/>
      <c r="N45" s="593" t="s">
        <v>3246</v>
      </c>
    </row>
    <row r="46" spans="2:14" ht="13.8" thickTop="1">
      <c r="B46" s="359" t="s">
        <v>213</v>
      </c>
      <c r="C46" s="359"/>
    </row>
    <row r="47" spans="2:14">
      <c r="B47" s="359"/>
      <c r="C47" s="359" t="s">
        <v>3160</v>
      </c>
    </row>
    <row r="52" spans="2:12" ht="13.8">
      <c r="B52" s="1353" t="s">
        <v>3159</v>
      </c>
      <c r="C52" s="1353"/>
      <c r="D52" s="1353"/>
      <c r="E52" s="1353"/>
      <c r="F52" s="1353"/>
      <c r="G52" s="1353"/>
      <c r="H52" s="1353"/>
      <c r="I52" s="1353"/>
      <c r="J52" s="1353"/>
      <c r="K52" s="1353"/>
      <c r="L52" s="1353"/>
    </row>
  </sheetData>
  <sheetProtection algorithmName="SHA-512" hashValue="RII3Dud0EXlWtkcK24VddoPV9dO/s6YDAqDJWauI2AwKwYaAPJrXXTX6mvg7TwRKz2BwEuIGuKrWDDMBhy3Rhw==" saltValue="eViKTjUoqGlzr4ChTQ/8CQ==" spinCount="100000"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9"/>
  <dimension ref="B3:K66"/>
  <sheetViews>
    <sheetView topLeftCell="B24" zoomScaleNormal="100" workbookViewId="0">
      <selection activeCell="H30" sqref="H30"/>
    </sheetView>
  </sheetViews>
  <sheetFormatPr defaultRowHeight="13.2"/>
  <cols>
    <col min="1" max="4" width="4.6640625" customWidth="1"/>
    <col min="5" max="5" width="16.6640625" customWidth="1"/>
    <col min="6" max="9" width="18.6640625" bestFit="1" customWidth="1"/>
    <col min="10" max="10" width="13.5546875" bestFit="1" customWidth="1"/>
    <col min="11" max="11" width="9.44140625" bestFit="1" customWidth="1"/>
  </cols>
  <sheetData>
    <row r="3" spans="2:11" ht="23.4" thickBot="1">
      <c r="B3" s="1205" t="str">
        <f>"CASH RECONCILIATION "&amp;IF('KEY INPUTS'!C42="State Fiscal Year"," JUNE  30,  "&amp;'KEY INPUTS'!D33&amp;""," DECEMBER  31, "&amp;'KEY INPUTS'!D34&amp;"")&amp;""</f>
        <v>CASH RECONCILIATION  DECEMBER  31, 2024</v>
      </c>
      <c r="C3" s="1205"/>
      <c r="D3" s="1205"/>
      <c r="E3" s="1205"/>
      <c r="F3" s="1205"/>
      <c r="G3" s="1205"/>
      <c r="H3" s="1205"/>
      <c r="I3" s="1205"/>
    </row>
    <row r="4" spans="2:11" ht="30" customHeight="1" thickTop="1">
      <c r="B4" s="11"/>
      <c r="C4" s="11"/>
      <c r="D4" s="11"/>
      <c r="E4" s="11"/>
      <c r="F4" s="1206" t="s">
        <v>194</v>
      </c>
      <c r="G4" s="1207"/>
      <c r="H4" s="51" t="s">
        <v>197</v>
      </c>
      <c r="I4" s="615" t="s">
        <v>199</v>
      </c>
    </row>
    <row r="5" spans="2:11" ht="30" customHeight="1">
      <c r="F5" s="583" t="s">
        <v>195</v>
      </c>
      <c r="G5" s="25" t="s">
        <v>196</v>
      </c>
      <c r="H5" s="185" t="s">
        <v>198</v>
      </c>
      <c r="I5" s="186" t="s">
        <v>529</v>
      </c>
    </row>
    <row r="6" spans="2:11" ht="21" customHeight="1">
      <c r="B6" s="1198" t="s">
        <v>533</v>
      </c>
      <c r="C6" s="1198"/>
      <c r="D6" s="1198"/>
      <c r="E6" s="1199"/>
      <c r="F6" s="289">
        <v>45856.75</v>
      </c>
      <c r="G6" s="289">
        <v>3742576.02</v>
      </c>
      <c r="H6" s="289">
        <f>35880.51+0.16</f>
        <v>35880.670000000006</v>
      </c>
      <c r="I6" s="195">
        <f>+F6+G6-H6</f>
        <v>3752552.1</v>
      </c>
      <c r="J6" s="204"/>
      <c r="K6" s="575"/>
    </row>
    <row r="7" spans="2:11" ht="21" customHeight="1">
      <c r="B7" s="1197" t="s">
        <v>3189</v>
      </c>
      <c r="C7" s="1198"/>
      <c r="D7" s="1198"/>
      <c r="E7" s="1199"/>
      <c r="F7" s="289"/>
      <c r="G7" s="289"/>
      <c r="H7" s="289"/>
      <c r="I7" s="195">
        <f t="shared" ref="I7:I13" si="0">+F7+G7-H7</f>
        <v>0</v>
      </c>
      <c r="J7" s="204"/>
      <c r="K7" s="575"/>
    </row>
    <row r="8" spans="2:11" ht="21" customHeight="1">
      <c r="B8" s="1197" t="s">
        <v>3539</v>
      </c>
      <c r="C8" s="1198"/>
      <c r="D8" s="1198"/>
      <c r="E8" s="1199"/>
      <c r="F8" s="289"/>
      <c r="G8" s="289">
        <v>4272.51</v>
      </c>
      <c r="H8" s="289"/>
      <c r="I8" s="195">
        <f t="shared" si="0"/>
        <v>4272.51</v>
      </c>
      <c r="K8" s="575"/>
    </row>
    <row r="9" spans="2:11" ht="21" customHeight="1">
      <c r="B9" s="1197" t="s">
        <v>3239</v>
      </c>
      <c r="C9" s="1198"/>
      <c r="D9" s="1198"/>
      <c r="E9" s="1199"/>
      <c r="F9" s="289"/>
      <c r="G9" s="289"/>
      <c r="H9" s="289"/>
      <c r="I9" s="195">
        <f t="shared" si="0"/>
        <v>0</v>
      </c>
      <c r="J9" s="204"/>
    </row>
    <row r="10" spans="2:11" ht="21" customHeight="1">
      <c r="B10" s="1197" t="s">
        <v>3235</v>
      </c>
      <c r="C10" s="1198"/>
      <c r="D10" s="1198"/>
      <c r="E10" s="1199"/>
      <c r="F10" s="289"/>
      <c r="G10" s="289"/>
      <c r="H10" s="289"/>
      <c r="I10" s="195">
        <f t="shared" si="0"/>
        <v>0</v>
      </c>
      <c r="J10" s="204"/>
      <c r="K10" s="204"/>
    </row>
    <row r="11" spans="2:11" ht="21" customHeight="1">
      <c r="B11" s="1197" t="s">
        <v>3236</v>
      </c>
      <c r="C11" s="1198"/>
      <c r="D11" s="1198"/>
      <c r="E11" s="1199"/>
      <c r="F11" s="289"/>
      <c r="G11" s="289"/>
      <c r="H11" s="289"/>
      <c r="I11" s="195">
        <f t="shared" si="0"/>
        <v>0</v>
      </c>
      <c r="J11" s="204"/>
    </row>
    <row r="12" spans="2:11" ht="21" customHeight="1">
      <c r="B12" s="1197" t="s">
        <v>3237</v>
      </c>
      <c r="C12" s="1198"/>
      <c r="D12" s="1198"/>
      <c r="E12" s="1199"/>
      <c r="F12" s="289"/>
      <c r="G12" s="289"/>
      <c r="H12" s="289"/>
      <c r="I12" s="195">
        <f t="shared" si="0"/>
        <v>0</v>
      </c>
    </row>
    <row r="13" spans="2:11" ht="21" customHeight="1">
      <c r="B13" s="1197" t="s">
        <v>3238</v>
      </c>
      <c r="C13" s="1198"/>
      <c r="D13" s="1198"/>
      <c r="E13" s="1199"/>
      <c r="F13" s="289">
        <v>48118.2</v>
      </c>
      <c r="G13" s="289">
        <v>236001.47</v>
      </c>
      <c r="H13" s="289">
        <f>46313.64-3610.84</f>
        <v>42702.8</v>
      </c>
      <c r="I13" s="195">
        <f t="shared" si="0"/>
        <v>241416.87</v>
      </c>
    </row>
    <row r="14" spans="2:11" ht="21" customHeight="1">
      <c r="B14" s="1208" t="s">
        <v>3614</v>
      </c>
      <c r="C14" s="1209"/>
      <c r="D14" s="1209"/>
      <c r="E14" s="1210"/>
      <c r="F14" s="289"/>
      <c r="G14" s="289"/>
      <c r="H14" s="289"/>
      <c r="I14" s="195">
        <f t="shared" ref="I14" si="1">+F14+G14-H14</f>
        <v>0</v>
      </c>
    </row>
    <row r="15" spans="2:11" ht="20.25" customHeight="1">
      <c r="B15" s="1197" t="s">
        <v>3188</v>
      </c>
      <c r="C15" s="1198"/>
      <c r="D15" s="1198"/>
      <c r="E15" s="1199"/>
      <c r="F15" s="289">
        <v>0.01</v>
      </c>
      <c r="G15" s="289">
        <v>370360.06</v>
      </c>
      <c r="H15" s="289"/>
      <c r="I15" s="195">
        <f t="shared" ref="I15:I34" si="2">+F15+G15-H15</f>
        <v>370360.07</v>
      </c>
    </row>
    <row r="16" spans="2:11" ht="21" customHeight="1">
      <c r="B16" s="1204"/>
      <c r="C16" s="1200"/>
      <c r="D16" s="1200"/>
      <c r="E16" s="1201"/>
      <c r="F16" s="289"/>
      <c r="G16" s="289"/>
      <c r="H16" s="289"/>
      <c r="I16" s="195">
        <f t="shared" si="2"/>
        <v>0</v>
      </c>
    </row>
    <row r="17" spans="2:11" ht="21" customHeight="1">
      <c r="B17" s="1211" t="s">
        <v>3240</v>
      </c>
      <c r="C17" s="1211"/>
      <c r="D17" s="1211"/>
      <c r="E17" s="1212"/>
      <c r="F17" s="663"/>
      <c r="G17" s="663"/>
      <c r="H17" s="663"/>
      <c r="I17" s="668"/>
      <c r="J17" s="204"/>
      <c r="K17" s="581" t="s">
        <v>3241</v>
      </c>
    </row>
    <row r="18" spans="2:11" ht="21" customHeight="1">
      <c r="B18" s="1204" t="s">
        <v>3775</v>
      </c>
      <c r="C18" s="1200"/>
      <c r="D18" s="1200"/>
      <c r="E18" s="1201"/>
      <c r="F18" s="289">
        <v>50</v>
      </c>
      <c r="G18" s="289">
        <v>533383.66</v>
      </c>
      <c r="H18" s="289">
        <f>56402.18-27254.8</f>
        <v>29147.38</v>
      </c>
      <c r="I18" s="195">
        <f t="shared" si="2"/>
        <v>504286.28</v>
      </c>
      <c r="J18" s="204"/>
    </row>
    <row r="19" spans="2:11" ht="21" customHeight="1">
      <c r="B19" s="1204" t="s">
        <v>3776</v>
      </c>
      <c r="C19" s="1200"/>
      <c r="D19" s="1200"/>
      <c r="E19" s="1201"/>
      <c r="F19" s="289"/>
      <c r="G19" s="289">
        <v>71102.740000000005</v>
      </c>
      <c r="H19" s="289"/>
      <c r="I19" s="195">
        <f t="shared" si="2"/>
        <v>71102.740000000005</v>
      </c>
    </row>
    <row r="20" spans="2:11" ht="21" customHeight="1">
      <c r="B20" s="1204" t="s">
        <v>3777</v>
      </c>
      <c r="C20" s="1200"/>
      <c r="D20" s="1200"/>
      <c r="E20" s="1201"/>
      <c r="F20" s="289"/>
      <c r="G20" s="289">
        <v>1002295.94</v>
      </c>
      <c r="H20" s="289">
        <f>76270.65-920.9</f>
        <v>75349.75</v>
      </c>
      <c r="I20" s="195">
        <f t="shared" si="2"/>
        <v>926946.19</v>
      </c>
    </row>
    <row r="21" spans="2:11" ht="21" customHeight="1">
      <c r="B21" s="1204" t="s">
        <v>3778</v>
      </c>
      <c r="C21" s="1200"/>
      <c r="D21" s="1200"/>
      <c r="E21" s="1201"/>
      <c r="F21" s="289"/>
      <c r="G21" s="289">
        <v>1348022.71</v>
      </c>
      <c r="H21" s="289"/>
      <c r="I21" s="195">
        <f t="shared" si="2"/>
        <v>1348022.71</v>
      </c>
    </row>
    <row r="22" spans="2:11" ht="21" customHeight="1">
      <c r="B22" s="1204"/>
      <c r="C22" s="1200"/>
      <c r="D22" s="1200"/>
      <c r="E22" s="1201"/>
      <c r="F22" s="289"/>
      <c r="G22" s="289"/>
      <c r="H22" s="289"/>
      <c r="I22" s="195">
        <f t="shared" si="2"/>
        <v>0</v>
      </c>
    </row>
    <row r="23" spans="2:11" ht="21" customHeight="1">
      <c r="B23" s="1204"/>
      <c r="C23" s="1200"/>
      <c r="D23" s="1200"/>
      <c r="E23" s="1201"/>
      <c r="F23" s="289"/>
      <c r="G23" s="289"/>
      <c r="H23" s="289"/>
      <c r="I23" s="195">
        <f t="shared" si="2"/>
        <v>0</v>
      </c>
    </row>
    <row r="24" spans="2:11" ht="21" customHeight="1">
      <c r="B24" s="1200"/>
      <c r="C24" s="1200"/>
      <c r="D24" s="1200"/>
      <c r="E24" s="1201"/>
      <c r="F24" s="289"/>
      <c r="G24" s="289"/>
      <c r="H24" s="289"/>
      <c r="I24" s="195">
        <f t="shared" si="2"/>
        <v>0</v>
      </c>
    </row>
    <row r="25" spans="2:11" ht="21" customHeight="1">
      <c r="B25" s="1200"/>
      <c r="C25" s="1200"/>
      <c r="D25" s="1200"/>
      <c r="E25" s="1201"/>
      <c r="F25" s="289"/>
      <c r="G25" s="289"/>
      <c r="H25" s="289"/>
      <c r="I25" s="195">
        <f t="shared" si="2"/>
        <v>0</v>
      </c>
    </row>
    <row r="26" spans="2:11" ht="21" customHeight="1">
      <c r="B26" s="1200"/>
      <c r="C26" s="1200"/>
      <c r="D26" s="1200"/>
      <c r="E26" s="1201"/>
      <c r="F26" s="289"/>
      <c r="G26" s="289"/>
      <c r="H26" s="289"/>
      <c r="I26" s="195">
        <f t="shared" si="2"/>
        <v>0</v>
      </c>
    </row>
    <row r="27" spans="2:11" ht="21" customHeight="1">
      <c r="B27" s="584"/>
      <c r="C27" s="584"/>
      <c r="D27" s="584"/>
      <c r="E27" s="585"/>
      <c r="F27" s="289"/>
      <c r="G27" s="289"/>
      <c r="H27" s="289"/>
      <c r="I27" s="195">
        <f t="shared" si="2"/>
        <v>0</v>
      </c>
    </row>
    <row r="28" spans="2:11" ht="21" customHeight="1">
      <c r="B28" s="584"/>
      <c r="C28" s="584"/>
      <c r="D28" s="584"/>
      <c r="E28" s="585"/>
      <c r="F28" s="289"/>
      <c r="G28" s="289"/>
      <c r="H28" s="289"/>
      <c r="I28" s="195">
        <f t="shared" si="2"/>
        <v>0</v>
      </c>
    </row>
    <row r="29" spans="2:11" ht="21" customHeight="1">
      <c r="B29" s="584"/>
      <c r="C29" s="584"/>
      <c r="D29" s="584"/>
      <c r="E29" s="585"/>
      <c r="F29" s="289"/>
      <c r="G29" s="289"/>
      <c r="H29" s="289"/>
      <c r="I29" s="195">
        <f t="shared" si="2"/>
        <v>0</v>
      </c>
    </row>
    <row r="30" spans="2:11" ht="21" customHeight="1">
      <c r="B30" s="1200"/>
      <c r="C30" s="1200"/>
      <c r="D30" s="1200"/>
      <c r="E30" s="1201"/>
      <c r="F30" s="289"/>
      <c r="G30" s="289"/>
      <c r="H30" s="289"/>
      <c r="I30" s="195">
        <f t="shared" si="2"/>
        <v>0</v>
      </c>
    </row>
    <row r="31" spans="2:11" ht="21" customHeight="1">
      <c r="B31" s="1200"/>
      <c r="C31" s="1200"/>
      <c r="D31" s="1200"/>
      <c r="E31" s="1201"/>
      <c r="F31" s="289"/>
      <c r="G31" s="289"/>
      <c r="H31" s="289"/>
      <c r="I31" s="195">
        <f t="shared" si="2"/>
        <v>0</v>
      </c>
    </row>
    <row r="32" spans="2:11" ht="21" customHeight="1">
      <c r="B32" s="1200"/>
      <c r="C32" s="1200"/>
      <c r="D32" s="1200"/>
      <c r="E32" s="1201"/>
      <c r="F32" s="289"/>
      <c r="G32" s="289"/>
      <c r="H32" s="289"/>
      <c r="I32" s="195">
        <f t="shared" si="2"/>
        <v>0</v>
      </c>
    </row>
    <row r="33" spans="2:9" ht="21" customHeight="1">
      <c r="B33" s="1200"/>
      <c r="C33" s="1200"/>
      <c r="D33" s="1200"/>
      <c r="E33" s="1201"/>
      <c r="F33" s="289"/>
      <c r="G33" s="289"/>
      <c r="H33" s="289"/>
      <c r="I33" s="195">
        <f t="shared" si="2"/>
        <v>0</v>
      </c>
    </row>
    <row r="34" spans="2:9" ht="21" customHeight="1">
      <c r="B34" s="1202"/>
      <c r="C34" s="1202"/>
      <c r="D34" s="1202"/>
      <c r="E34" s="1203"/>
      <c r="F34" s="440"/>
      <c r="G34" s="440"/>
      <c r="H34" s="440"/>
      <c r="I34" s="207">
        <f t="shared" si="2"/>
        <v>0</v>
      </c>
    </row>
    <row r="35" spans="2:9" ht="21" customHeight="1" thickBot="1">
      <c r="B35" s="10"/>
      <c r="C35" s="10"/>
      <c r="D35" s="10"/>
      <c r="E35" s="29" t="s">
        <v>201</v>
      </c>
      <c r="F35" s="199">
        <f>SUM(F6:F34)</f>
        <v>94024.959999999992</v>
      </c>
      <c r="G35" s="199">
        <f>SUM(G6:G34)</f>
        <v>7308015.1100000003</v>
      </c>
      <c r="H35" s="199">
        <f>SUM(H6:H34)</f>
        <v>183080.6</v>
      </c>
      <c r="I35" s="200">
        <f>SUM(I6:I34)</f>
        <v>7218959.4699999997</v>
      </c>
    </row>
    <row r="36" spans="2:9" ht="13.8" thickTop="1">
      <c r="B36" s="34" t="s">
        <v>558</v>
      </c>
      <c r="G36" s="204"/>
    </row>
    <row r="37" spans="2:9">
      <c r="B37" s="34" t="s">
        <v>559</v>
      </c>
      <c r="G37" s="204"/>
    </row>
    <row r="38" spans="2:9">
      <c r="B38" s="34"/>
    </row>
    <row r="39" spans="2:9" ht="13.8">
      <c r="B39" s="35" t="s">
        <v>560</v>
      </c>
    </row>
    <row r="40" spans="2:9">
      <c r="B40" s="34"/>
      <c r="C40" s="34" t="s">
        <v>561</v>
      </c>
    </row>
    <row r="41" spans="2:9">
      <c r="B41" s="34" t="str">
        <f>IF('KEY INPUTS'!C42="State Fiscal Year","applicable bank statements, certificates, agreements or passbooks at "&amp;'KEY INPUTS'!F47&amp;".","applicable bank statements, certificates, agreements or passbooks at December 31, "&amp;TEXT('KEY INPUTS'!D34,"0")&amp;".")</f>
        <v>applicable bank statements, certificates, agreements or passbooks at December 31, 2024.</v>
      </c>
      <c r="C41" s="34"/>
    </row>
    <row r="42" spans="2:9">
      <c r="B42" s="34"/>
      <c r="C42" s="34" t="s">
        <v>151</v>
      </c>
    </row>
    <row r="43" spans="2:9">
      <c r="B43" s="34" t="str">
        <f>IF('KEY INPUTS'!C42="State Fiscal Year","been verified with the applicable passbook at "&amp;'KEY INPUTS'!F47&amp;".","been verified with the applicable passbook at December 31, "&amp;TEXT('KEY INPUTS'!D34,"0")&amp;".")</f>
        <v>been verified with the applicable passbook at December 31, 2024.</v>
      </c>
      <c r="C43" s="34"/>
    </row>
    <row r="44" spans="2:9">
      <c r="B44" s="34"/>
      <c r="C44" s="34" t="s">
        <v>114</v>
      </c>
    </row>
    <row r="45" spans="2:9">
      <c r="B45" s="34" t="s">
        <v>152</v>
      </c>
      <c r="C45" s="34"/>
    </row>
    <row r="46" spans="2:9">
      <c r="B46" s="36"/>
      <c r="C46" s="37" t="s">
        <v>115</v>
      </c>
    </row>
    <row r="47" spans="2:9">
      <c r="B47" s="37" t="s">
        <v>116</v>
      </c>
      <c r="C47" s="36"/>
    </row>
    <row r="48" spans="2:9">
      <c r="B48" s="36"/>
      <c r="C48" s="36"/>
    </row>
    <row r="49" spans="2:9">
      <c r="B49" s="36"/>
      <c r="C49" s="36"/>
    </row>
    <row r="50" spans="2:9">
      <c r="B50" s="36" t="s">
        <v>117</v>
      </c>
      <c r="C50" s="36"/>
      <c r="D50" s="1164" t="s">
        <v>3791</v>
      </c>
      <c r="E50" s="1164"/>
      <c r="F50" s="1164"/>
      <c r="G50" s="38" t="s">
        <v>118</v>
      </c>
      <c r="H50" s="1166" t="s">
        <v>832</v>
      </c>
      <c r="I50" s="1164"/>
    </row>
    <row r="51" spans="2:9">
      <c r="B51" s="36"/>
      <c r="C51" s="36"/>
    </row>
    <row r="52" spans="2:9" ht="13.8">
      <c r="B52" s="1130" t="s">
        <v>200</v>
      </c>
      <c r="C52" s="1130"/>
      <c r="D52" s="1130"/>
      <c r="E52" s="1130"/>
      <c r="F52" s="1130"/>
      <c r="G52" s="1130"/>
      <c r="H52" s="1130"/>
      <c r="I52" s="1130"/>
    </row>
    <row r="59" spans="2:9">
      <c r="G59" s="204"/>
    </row>
    <row r="61" spans="2:9">
      <c r="G61" s="204"/>
    </row>
    <row r="66" spans="7:7">
      <c r="G66" s="204"/>
    </row>
  </sheetData>
  <sheetProtection algorithmName="SHA-512" hashValue="tqjKwqKN0r7KoWx165z/4gB/WVxvh0jp0BRkrs1VDlf4AHULuEoipicgsQZz9lHy4Th/lcwflQBd1p9LISYYJA==" saltValue="T/nzbwA23XP/naXHNwPFXA==" spinCount="100000" sheet="1" objects="1" scenarios="1"/>
  <mergeCells count="31">
    <mergeCell ref="B3:I3"/>
    <mergeCell ref="F4:G4"/>
    <mergeCell ref="B52:I52"/>
    <mergeCell ref="B6:E6"/>
    <mergeCell ref="B8:E8"/>
    <mergeCell ref="B9:E9"/>
    <mergeCell ref="B10:E10"/>
    <mergeCell ref="B11:E11"/>
    <mergeCell ref="B12:E12"/>
    <mergeCell ref="B13:E13"/>
    <mergeCell ref="B14:E14"/>
    <mergeCell ref="B15:E15"/>
    <mergeCell ref="B16:E16"/>
    <mergeCell ref="B17:E17"/>
    <mergeCell ref="B18:E18"/>
    <mergeCell ref="B19:E19"/>
    <mergeCell ref="H50:I50"/>
    <mergeCell ref="B25:E25"/>
    <mergeCell ref="B26:E26"/>
    <mergeCell ref="B30:E30"/>
    <mergeCell ref="B31:E31"/>
    <mergeCell ref="B7:E7"/>
    <mergeCell ref="B32:E32"/>
    <mergeCell ref="B33:E33"/>
    <mergeCell ref="B34:E34"/>
    <mergeCell ref="D50:F50"/>
    <mergeCell ref="B20:E20"/>
    <mergeCell ref="B21:E21"/>
    <mergeCell ref="B22:E22"/>
    <mergeCell ref="B23:E23"/>
    <mergeCell ref="B24:E24"/>
  </mergeCells>
  <phoneticPr fontId="0" type="noConversion"/>
  <pageMargins left="0.25" right="0.25" top="0.5" bottom="0.5" header="0.25" footer="0.25"/>
  <pageSetup paperSize="5" scale="94" orientation="portrait" r:id="rId1"/>
  <headerFooter alignWithMargins="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D1E34-E96D-4BC3-AD9B-E5C59C30FBCA}">
  <sheetPr codeName="Sheet278">
    <tabColor theme="3" tint="0.79998168889431442"/>
  </sheetPr>
  <dimension ref="B3:T69"/>
  <sheetViews>
    <sheetView topLeftCell="A28" zoomScaleNormal="100" zoomScaleSheetLayoutView="80" workbookViewId="0">
      <selection activeCell="B55" sqref="B55"/>
    </sheetView>
  </sheetViews>
  <sheetFormatPr defaultColWidth="9.109375" defaultRowHeight="13.2"/>
  <cols>
    <col min="1" max="4" width="4.6640625" style="267" customWidth="1"/>
    <col min="5" max="8" width="9.109375" style="267"/>
    <col min="9" max="9" width="1.6640625" style="267" customWidth="1"/>
    <col min="10" max="10" width="16.6640625" style="267" customWidth="1"/>
    <col min="11" max="11" width="1.6640625" style="267" customWidth="1"/>
    <col min="12" max="12" width="16.6640625" style="267" customWidth="1"/>
    <col min="13" max="16384" width="9.109375" style="267"/>
  </cols>
  <sheetData>
    <row r="3" spans="2:20" ht="17.399999999999999">
      <c r="B3" s="1386" t="str">
        <f>"SCHEDULE  OF "&amp;UPPER('KEY INPUTS'!D59&amp;"  UTILITY  ACCOUNTS  RECEIVABLE")</f>
        <v>SCHEDULE  OF   UTILITY  ACCOUNTS  RECEIVABLE</v>
      </c>
      <c r="C3" s="1386"/>
      <c r="D3" s="1386"/>
      <c r="E3" s="1386"/>
      <c r="F3" s="1386"/>
      <c r="G3" s="1386"/>
      <c r="H3" s="1386"/>
      <c r="I3" s="1386"/>
      <c r="J3" s="1386"/>
      <c r="K3" s="1386"/>
      <c r="L3" s="1386"/>
    </row>
    <row r="6" spans="2:20">
      <c r="B6" s="367" t="str">
        <f>IF('KEY INPUTS'!C42="State Fiscal Year","Balance June 30, "&amp;'KEY INPUTS'!D33-1&amp;"","Balance December 31, "&amp;'KEY INPUTS'!D34-1&amp;"")</f>
        <v>Balance December 31, 2023</v>
      </c>
      <c r="J6" s="61"/>
      <c r="K6" s="267" t="s">
        <v>373</v>
      </c>
      <c r="L6" s="431"/>
      <c r="N6"/>
      <c r="O6"/>
      <c r="P6"/>
      <c r="Q6"/>
      <c r="R6"/>
      <c r="S6"/>
      <c r="T6"/>
    </row>
    <row r="7" spans="2:20">
      <c r="J7" s="61"/>
      <c r="K7" s="61"/>
      <c r="L7" s="61"/>
      <c r="N7"/>
      <c r="O7"/>
      <c r="P7"/>
      <c r="Q7"/>
      <c r="R7"/>
      <c r="S7"/>
      <c r="T7"/>
    </row>
    <row r="8" spans="2:20">
      <c r="J8" s="61"/>
      <c r="K8" s="61"/>
      <c r="L8" s="61"/>
      <c r="N8" s="294"/>
      <c r="O8"/>
      <c r="P8"/>
      <c r="Q8"/>
      <c r="R8"/>
      <c r="S8"/>
      <c r="T8"/>
    </row>
    <row r="9" spans="2:20">
      <c r="J9" s="61"/>
      <c r="K9" s="61"/>
      <c r="L9" s="61"/>
      <c r="N9"/>
      <c r="O9"/>
      <c r="P9"/>
      <c r="Q9"/>
      <c r="R9"/>
      <c r="S9"/>
      <c r="T9"/>
    </row>
    <row r="10" spans="2:20">
      <c r="B10" s="267" t="s">
        <v>214</v>
      </c>
      <c r="J10" s="61"/>
      <c r="K10" s="61"/>
      <c r="L10" s="61"/>
      <c r="N10"/>
      <c r="O10"/>
      <c r="P10"/>
      <c r="Q10"/>
      <c r="R10"/>
      <c r="S10"/>
      <c r="T10"/>
    </row>
    <row r="11" spans="2:20">
      <c r="D11" s="267" t="s">
        <v>3482</v>
      </c>
      <c r="E11" s="799"/>
      <c r="J11" s="61"/>
      <c r="K11" s="267" t="s">
        <v>373</v>
      </c>
      <c r="L11" s="431"/>
      <c r="N11"/>
      <c r="O11"/>
      <c r="P11"/>
      <c r="Q11"/>
      <c r="R11"/>
      <c r="S11"/>
      <c r="T11"/>
    </row>
    <row r="12" spans="2:20">
      <c r="J12" s="61"/>
      <c r="K12" s="61"/>
      <c r="L12" s="61"/>
      <c r="N12"/>
      <c r="O12"/>
      <c r="P12"/>
      <c r="Q12"/>
      <c r="R12"/>
      <c r="S12"/>
      <c r="T12"/>
    </row>
    <row r="13" spans="2:20">
      <c r="J13" s="61"/>
      <c r="K13" s="61"/>
      <c r="L13" s="61"/>
      <c r="N13"/>
      <c r="O13"/>
      <c r="P13"/>
      <c r="Q13"/>
      <c r="R13"/>
      <c r="S13"/>
      <c r="T13"/>
    </row>
    <row r="14" spans="2:20">
      <c r="J14" s="61"/>
      <c r="K14" s="61"/>
      <c r="L14" s="61"/>
      <c r="N14"/>
      <c r="O14"/>
      <c r="P14"/>
      <c r="Q14"/>
      <c r="R14"/>
      <c r="S14"/>
      <c r="T14"/>
    </row>
    <row r="15" spans="2:20">
      <c r="B15" s="267" t="s">
        <v>215</v>
      </c>
      <c r="J15" s="61"/>
      <c r="K15" s="61"/>
      <c r="L15" s="61"/>
      <c r="N15"/>
      <c r="O15"/>
      <c r="P15"/>
      <c r="Q15"/>
      <c r="R15"/>
      <c r="S15"/>
      <c r="T15"/>
    </row>
    <row r="16" spans="2:20" ht="21" customHeight="1">
      <c r="D16" s="267" t="s">
        <v>216</v>
      </c>
      <c r="I16" s="267" t="s">
        <v>373</v>
      </c>
      <c r="J16" s="431"/>
      <c r="K16" s="61"/>
      <c r="L16" s="61"/>
      <c r="N16"/>
      <c r="O16"/>
      <c r="P16"/>
      <c r="Q16"/>
      <c r="R16"/>
      <c r="S16"/>
      <c r="T16"/>
    </row>
    <row r="17" spans="2:20" ht="21" customHeight="1">
      <c r="D17" s="267" t="s">
        <v>217</v>
      </c>
      <c r="I17" s="267" t="s">
        <v>373</v>
      </c>
      <c r="J17" s="431"/>
      <c r="K17" s="61"/>
      <c r="L17" s="61"/>
      <c r="N17"/>
      <c r="O17"/>
      <c r="P17"/>
      <c r="Q17"/>
      <c r="R17"/>
      <c r="S17"/>
      <c r="T17"/>
    </row>
    <row r="18" spans="2:20" ht="21" customHeight="1">
      <c r="D18" s="267" t="s">
        <v>3483</v>
      </c>
      <c r="I18" s="267" t="s">
        <v>373</v>
      </c>
      <c r="J18" s="431"/>
      <c r="K18" s="61"/>
      <c r="L18" s="61"/>
      <c r="N18"/>
      <c r="O18"/>
      <c r="P18"/>
      <c r="Q18"/>
      <c r="R18"/>
      <c r="S18"/>
      <c r="T18"/>
    </row>
    <row r="19" spans="2:20" ht="21" customHeight="1">
      <c r="D19" s="267" t="s">
        <v>218</v>
      </c>
      <c r="I19" s="267" t="s">
        <v>373</v>
      </c>
      <c r="J19" s="431"/>
      <c r="K19" s="61"/>
      <c r="L19" s="61"/>
      <c r="N19"/>
      <c r="O19"/>
      <c r="P19"/>
      <c r="Q19"/>
      <c r="R19"/>
      <c r="S19"/>
      <c r="T19"/>
    </row>
    <row r="20" spans="2:20">
      <c r="J20" s="61"/>
      <c r="K20" s="61"/>
      <c r="L20" s="61"/>
      <c r="N20"/>
      <c r="O20"/>
      <c r="P20"/>
      <c r="Q20"/>
      <c r="R20"/>
      <c r="S20"/>
      <c r="T20"/>
    </row>
    <row r="21" spans="2:20">
      <c r="J21" s="61"/>
      <c r="K21" s="267" t="s">
        <v>373</v>
      </c>
      <c r="L21" s="63">
        <f>SUM(J16:J19)</f>
        <v>0</v>
      </c>
      <c r="N21"/>
      <c r="O21"/>
      <c r="P21"/>
      <c r="Q21"/>
      <c r="R21"/>
      <c r="S21"/>
      <c r="T21"/>
    </row>
    <row r="22" spans="2:20">
      <c r="J22" s="61"/>
      <c r="K22" s="61"/>
      <c r="L22" s="61"/>
      <c r="N22"/>
      <c r="O22"/>
      <c r="P22"/>
      <c r="Q22"/>
      <c r="R22"/>
      <c r="S22"/>
      <c r="T22"/>
    </row>
    <row r="23" spans="2:20">
      <c r="J23" s="61"/>
      <c r="K23" s="61"/>
      <c r="L23" s="61"/>
    </row>
    <row r="24" spans="2:20" ht="13.8" thickBot="1">
      <c r="B24" s="367" t="str">
        <f>IF('KEY INPUTS'!C42="State Fiscal Year","Balance June 30, "&amp;'KEY INPUTS'!D33&amp;"","Balance December 31, "&amp;'KEY INPUTS'!D34&amp;"")</f>
        <v>Balance December 31, 2024</v>
      </c>
      <c r="J24" s="61"/>
      <c r="K24" s="267" t="s">
        <v>373</v>
      </c>
      <c r="L24" s="80">
        <f>+L6+L11-L21</f>
        <v>0</v>
      </c>
    </row>
    <row r="25" spans="2:20" ht="13.8" thickTop="1"/>
    <row r="28" spans="2:20">
      <c r="B28" s="333"/>
      <c r="C28" s="333"/>
      <c r="D28" s="333"/>
      <c r="E28" s="333"/>
      <c r="F28" s="333"/>
      <c r="G28" s="333"/>
      <c r="H28" s="333"/>
      <c r="I28" s="333"/>
      <c r="J28" s="333"/>
      <c r="K28" s="333"/>
      <c r="L28" s="333"/>
    </row>
    <row r="29" spans="2:20" ht="4.5" customHeight="1">
      <c r="B29" s="333"/>
      <c r="C29" s="333"/>
      <c r="D29" s="333"/>
      <c r="E29" s="333"/>
      <c r="F29" s="333"/>
      <c r="G29" s="333"/>
      <c r="H29" s="333"/>
      <c r="I29" s="333"/>
      <c r="J29" s="333"/>
      <c r="K29" s="333"/>
      <c r="L29" s="333"/>
    </row>
    <row r="33" spans="2:12" ht="17.399999999999999">
      <c r="B33" s="1380" t="str">
        <f>"SCHEDULE  OF "&amp;UPPER('KEY INPUTS'!D59)&amp;" UTILITY  LIENS"</f>
        <v>SCHEDULE  OF  UTILITY  LIENS</v>
      </c>
      <c r="C33" s="1380"/>
      <c r="D33" s="1380"/>
      <c r="E33" s="1380"/>
      <c r="F33" s="1380"/>
      <c r="G33" s="1380"/>
      <c r="H33" s="1380"/>
      <c r="I33" s="1380"/>
      <c r="J33" s="1380"/>
      <c r="K33" s="1380"/>
      <c r="L33" s="1380"/>
    </row>
    <row r="36" spans="2:12">
      <c r="B36" s="367" t="str">
        <f>IF('KEY INPUTS'!C42="State Fiscal Year","Balance June 30, "&amp;'KEY INPUTS'!D33-1&amp;"","Balance December 31, "&amp;'KEY INPUTS'!D34-1&amp;"")</f>
        <v>Balance December 31, 2023</v>
      </c>
      <c r="I36" s="61"/>
      <c r="J36" s="61"/>
      <c r="K36" s="61" t="s">
        <v>373</v>
      </c>
      <c r="L36" s="431"/>
    </row>
    <row r="37" spans="2:12">
      <c r="I37" s="61"/>
      <c r="J37" s="61"/>
      <c r="K37" s="61"/>
      <c r="L37" s="61"/>
    </row>
    <row r="38" spans="2:12">
      <c r="I38" s="61"/>
      <c r="J38" s="61"/>
      <c r="K38" s="61"/>
      <c r="L38" s="61"/>
    </row>
    <row r="39" spans="2:12">
      <c r="I39" s="61"/>
      <c r="J39" s="61"/>
      <c r="K39" s="61"/>
      <c r="L39" s="61"/>
    </row>
    <row r="40" spans="2:12">
      <c r="B40" s="267" t="s">
        <v>214</v>
      </c>
      <c r="I40" s="61"/>
      <c r="J40" s="61"/>
      <c r="K40" s="61"/>
      <c r="L40" s="61"/>
    </row>
    <row r="41" spans="2:12" ht="21" customHeight="1">
      <c r="D41" s="267" t="s">
        <v>219</v>
      </c>
      <c r="I41" s="267" t="s">
        <v>373</v>
      </c>
      <c r="J41" s="431"/>
      <c r="K41" s="61"/>
      <c r="L41" s="61"/>
    </row>
    <row r="42" spans="2:12" ht="21" customHeight="1">
      <c r="D42" s="267" t="s">
        <v>220</v>
      </c>
      <c r="I42" s="267" t="s">
        <v>373</v>
      </c>
      <c r="J42" s="431"/>
      <c r="K42" s="61"/>
      <c r="L42" s="61"/>
    </row>
    <row r="43" spans="2:12" ht="21" customHeight="1">
      <c r="D43" s="267" t="s">
        <v>218</v>
      </c>
      <c r="I43" s="267" t="s">
        <v>373</v>
      </c>
      <c r="J43" s="431"/>
      <c r="K43" s="119"/>
      <c r="L43" s="119"/>
    </row>
    <row r="44" spans="2:12">
      <c r="I44" s="61"/>
      <c r="J44" s="61"/>
      <c r="K44" s="61"/>
      <c r="L44" s="61"/>
    </row>
    <row r="45" spans="2:12">
      <c r="I45" s="61"/>
      <c r="J45" s="61"/>
      <c r="K45" s="267" t="s">
        <v>373</v>
      </c>
      <c r="L45" s="63">
        <f>SUM(J41:J43)</f>
        <v>0</v>
      </c>
    </row>
    <row r="46" spans="2:12">
      <c r="I46" s="61"/>
      <c r="J46" s="61"/>
      <c r="K46" s="61"/>
      <c r="L46" s="61"/>
    </row>
    <row r="47" spans="2:12">
      <c r="B47" s="267" t="s">
        <v>215</v>
      </c>
      <c r="I47" s="61"/>
      <c r="J47" s="61"/>
      <c r="K47" s="61"/>
      <c r="L47" s="61"/>
    </row>
    <row r="48" spans="2:12" ht="21" customHeight="1">
      <c r="D48" s="267" t="s">
        <v>216</v>
      </c>
      <c r="I48" s="267" t="s">
        <v>373</v>
      </c>
      <c r="J48" s="431"/>
      <c r="K48" s="61"/>
      <c r="L48" s="61"/>
    </row>
    <row r="49" spans="2:12" ht="21" customHeight="1">
      <c r="D49" s="267" t="s">
        <v>218</v>
      </c>
      <c r="I49" s="267" t="s">
        <v>373</v>
      </c>
      <c r="J49" s="431"/>
      <c r="K49" s="61"/>
      <c r="L49" s="61"/>
    </row>
    <row r="50" spans="2:12">
      <c r="I50" s="61"/>
      <c r="J50" s="61"/>
      <c r="K50" s="61"/>
      <c r="L50" s="61"/>
    </row>
    <row r="51" spans="2:12">
      <c r="I51" s="61"/>
      <c r="J51" s="61"/>
      <c r="K51" s="267" t="s">
        <v>373</v>
      </c>
      <c r="L51" s="63">
        <f>+J49+J48</f>
        <v>0</v>
      </c>
    </row>
    <row r="52" spans="2:12">
      <c r="I52" s="61"/>
      <c r="J52" s="61"/>
      <c r="K52" s="61"/>
      <c r="L52" s="61"/>
    </row>
    <row r="53" spans="2:12">
      <c r="I53" s="61"/>
      <c r="J53" s="61"/>
      <c r="K53" s="61"/>
      <c r="L53" s="61"/>
    </row>
    <row r="54" spans="2:12" ht="13.8" thickBot="1">
      <c r="B54" s="367" t="str">
        <f>IF('KEY INPUTS'!C42="State Fiscal Year","Balance June 30, "&amp;'KEY INPUTS'!D33&amp;"","Balance December 31, "&amp;'KEY INPUTS'!D34&amp;"")</f>
        <v>Balance December 31, 2024</v>
      </c>
      <c r="I54" s="61"/>
      <c r="J54" s="61"/>
      <c r="K54" s="267" t="s">
        <v>373</v>
      </c>
      <c r="L54" s="80">
        <f>+L36+L45-L51</f>
        <v>0</v>
      </c>
    </row>
    <row r="55" spans="2:12" ht="13.8" thickTop="1">
      <c r="I55" s="61"/>
      <c r="J55" s="61"/>
      <c r="K55" s="61"/>
      <c r="L55" s="61"/>
    </row>
    <row r="69" spans="2:12" ht="13.8">
      <c r="B69" s="1353" t="s">
        <v>3163</v>
      </c>
      <c r="C69" s="1353"/>
      <c r="D69" s="1353"/>
      <c r="E69" s="1353"/>
      <c r="F69" s="1353"/>
      <c r="G69" s="1353"/>
      <c r="H69" s="1353"/>
      <c r="I69" s="1353"/>
      <c r="J69" s="1353"/>
      <c r="K69" s="1353"/>
      <c r="L69" s="1353"/>
    </row>
  </sheetData>
  <sheetProtection algorithmName="SHA-512" hashValue="sCz9QnePSajoDqTDvs6OfY/ARnw5cz2SzREotFtQxUxBuTjGOVLEbknuOoVHRvcnm4PK4Rfj0yWjsFdwn5V49A==" saltValue="g0Jt/4YLGbFUyMYPCAk53A=="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DDD19-A65E-451E-BE8F-199051083D26}">
  <sheetPr codeName="Sheet279">
    <tabColor theme="3" tint="0.79998168889431442"/>
  </sheetPr>
  <dimension ref="B3:W69"/>
  <sheetViews>
    <sheetView zoomScaleNormal="100" zoomScaleSheetLayoutView="80" workbookViewId="0">
      <selection activeCell="N45" sqref="N45"/>
    </sheetView>
  </sheetViews>
  <sheetFormatPr defaultColWidth="9.109375" defaultRowHeight="13.2"/>
  <cols>
    <col min="1" max="4" width="4.6640625" style="267" customWidth="1"/>
    <col min="5" max="6" width="9.109375" style="267"/>
    <col min="7" max="7" width="1.6640625" style="267" customWidth="1"/>
    <col min="8" max="8" width="14.6640625" style="267" customWidth="1"/>
    <col min="9" max="9" width="1.6640625" style="267" customWidth="1"/>
    <col min="10" max="10" width="14.6640625" style="267" customWidth="1"/>
    <col min="11" max="11" width="1.6640625" style="267" customWidth="1"/>
    <col min="12" max="12" width="14.6640625" style="267" customWidth="1"/>
    <col min="13" max="13" width="1.6640625" style="267" customWidth="1"/>
    <col min="14" max="14" width="14.6640625" style="267" customWidth="1"/>
    <col min="15" max="16384" width="9.109375" style="267"/>
  </cols>
  <sheetData>
    <row r="3" spans="2:23" ht="20.399999999999999">
      <c r="B3" s="1363" t="s">
        <v>868</v>
      </c>
      <c r="C3" s="1363"/>
      <c r="D3" s="1363"/>
      <c r="E3" s="1363"/>
      <c r="F3" s="1363"/>
      <c r="G3" s="1363"/>
      <c r="H3" s="1363"/>
      <c r="I3" s="1363"/>
      <c r="J3" s="1363"/>
      <c r="K3" s="1363"/>
      <c r="L3" s="1363"/>
      <c r="M3" s="1363"/>
      <c r="N3" s="1363"/>
    </row>
    <row r="4" spans="2:23" ht="15.6">
      <c r="B4" s="1391" t="s">
        <v>421</v>
      </c>
      <c r="C4" s="1391"/>
      <c r="D4" s="1391"/>
      <c r="E4" s="1391"/>
      <c r="F4" s="1391"/>
      <c r="G4" s="1391"/>
      <c r="H4" s="1391"/>
      <c r="I4" s="1391"/>
      <c r="J4" s="1391"/>
      <c r="K4" s="1391"/>
      <c r="L4" s="1391"/>
      <c r="M4" s="1391"/>
      <c r="N4" s="1391"/>
    </row>
    <row r="5" spans="2:23" ht="20.399999999999999">
      <c r="B5" s="1363" t="str">
        <f>UPPER('KEY INPUTS'!D59)&amp;" UTILITY  FUND"</f>
        <v xml:space="preserve"> UTILITY  FUND</v>
      </c>
      <c r="C5" s="1363"/>
      <c r="D5" s="1363"/>
      <c r="E5" s="1363"/>
      <c r="F5" s="1363"/>
      <c r="G5" s="1363"/>
      <c r="H5" s="1363"/>
      <c r="I5" s="1363"/>
      <c r="J5" s="1363"/>
      <c r="K5" s="1363"/>
      <c r="L5" s="1363"/>
      <c r="M5" s="1363"/>
      <c r="N5" s="1363"/>
    </row>
    <row r="6" spans="2:23">
      <c r="B6" s="1392" t="s">
        <v>3572</v>
      </c>
      <c r="C6" s="1392"/>
      <c r="D6" s="1392"/>
      <c r="E6" s="1392"/>
      <c r="F6" s="1392"/>
      <c r="G6" s="1392"/>
      <c r="H6" s="1392"/>
      <c r="I6" s="1392"/>
      <c r="J6" s="1392"/>
      <c r="K6" s="1392"/>
      <c r="L6" s="1392"/>
      <c r="M6" s="1392"/>
      <c r="N6" s="1392"/>
    </row>
    <row r="8" spans="2:23">
      <c r="H8" s="302" t="s">
        <v>414</v>
      </c>
    </row>
    <row r="9" spans="2:23">
      <c r="C9" s="1389" t="s">
        <v>434</v>
      </c>
      <c r="D9" s="1389"/>
      <c r="E9" s="1389"/>
      <c r="H9" s="374" t="str">
        <f>IF('KEY INPUTS'!C42 = "State Fiscal Year", 'KEY INPUTS'!F46,'KEY INPUTS'!D46)</f>
        <v>Dec. 31, 2023</v>
      </c>
      <c r="J9" s="302" t="s">
        <v>435</v>
      </c>
      <c r="L9" s="302" t="s">
        <v>414</v>
      </c>
      <c r="N9" s="302" t="s">
        <v>529</v>
      </c>
    </row>
    <row r="10" spans="2:23">
      <c r="H10" s="302" t="s">
        <v>433</v>
      </c>
      <c r="J10" s="302" t="str">
        <f>IF('KEY INPUTS'!C42="State Fiscal Year","Fiscal Year "&amp;'KEY INPUTS'!D33&amp;"",'KEY INPUTS'!D34)&amp;""</f>
        <v>2024</v>
      </c>
      <c r="L10" s="302" t="s">
        <v>436</v>
      </c>
      <c r="N10" s="302" t="s">
        <v>437</v>
      </c>
    </row>
    <row r="11" spans="2:23">
      <c r="H11" s="369" t="s">
        <v>432</v>
      </c>
      <c r="J11" s="369" t="s">
        <v>534</v>
      </c>
      <c r="L11" s="369" t="str">
        <f>IF('KEY INPUTS'!C42="State Fiscal Year","Fiscal Year "&amp;'KEY INPUTS'!D33&amp;"",'KEY INPUTS'!D34)&amp;""</f>
        <v>2024</v>
      </c>
      <c r="N11" s="373" t="str">
        <f>IF('KEY INPUTS'!C42 = "State Fiscal Year", 'KEY INPUTS'!F47,'KEY INPUTS'!D47)</f>
        <v>Dec. 31, 2024</v>
      </c>
      <c r="Q11"/>
      <c r="R11"/>
      <c r="S11"/>
      <c r="T11"/>
      <c r="U11"/>
      <c r="V11"/>
      <c r="W11"/>
    </row>
    <row r="12" spans="2:23">
      <c r="B12" s="368" t="s">
        <v>292</v>
      </c>
      <c r="C12" s="267" t="s">
        <v>869</v>
      </c>
      <c r="Q12"/>
      <c r="R12"/>
      <c r="S12"/>
      <c r="T12"/>
      <c r="U12"/>
      <c r="V12"/>
      <c r="W12"/>
    </row>
    <row r="13" spans="2:23">
      <c r="B13" s="368"/>
      <c r="D13" s="267" t="s">
        <v>870</v>
      </c>
      <c r="G13" s="267" t="s">
        <v>373</v>
      </c>
      <c r="H13" s="431"/>
      <c r="I13" s="267" t="s">
        <v>373</v>
      </c>
      <c r="J13" s="431"/>
      <c r="K13" s="267" t="s">
        <v>373</v>
      </c>
      <c r="L13" s="431"/>
      <c r="M13" s="267" t="s">
        <v>373</v>
      </c>
      <c r="N13" s="515">
        <f>+H13-J13+L13</f>
        <v>0</v>
      </c>
      <c r="Q13" s="294"/>
      <c r="R13"/>
      <c r="S13"/>
      <c r="T13"/>
      <c r="U13"/>
      <c r="V13"/>
      <c r="W13"/>
    </row>
    <row r="14" spans="2:23">
      <c r="B14" s="368"/>
      <c r="H14" s="61"/>
      <c r="J14" s="61"/>
      <c r="L14" s="61"/>
      <c r="Q14"/>
      <c r="R14"/>
      <c r="S14"/>
      <c r="T14"/>
      <c r="U14"/>
      <c r="V14"/>
      <c r="W14"/>
    </row>
    <row r="15" spans="2:23" ht="21" customHeight="1">
      <c r="B15" s="368" t="s">
        <v>293</v>
      </c>
      <c r="C15" s="514" t="s">
        <v>3131</v>
      </c>
      <c r="D15" s="514"/>
      <c r="E15" s="514"/>
      <c r="F15" s="514"/>
      <c r="G15" s="267" t="s">
        <v>373</v>
      </c>
      <c r="H15" s="431"/>
      <c r="I15" s="267" t="s">
        <v>373</v>
      </c>
      <c r="J15" s="431"/>
      <c r="K15" s="267" t="s">
        <v>373</v>
      </c>
      <c r="L15" s="431"/>
      <c r="M15" s="267" t="s">
        <v>373</v>
      </c>
      <c r="N15" s="515">
        <f>+H15-J15+L15</f>
        <v>0</v>
      </c>
      <c r="Q15"/>
      <c r="R15"/>
      <c r="S15"/>
      <c r="T15"/>
      <c r="U15"/>
      <c r="V15"/>
      <c r="W15"/>
    </row>
    <row r="16" spans="2:23" ht="21" customHeight="1">
      <c r="B16" s="368" t="s">
        <v>294</v>
      </c>
      <c r="C16" s="514"/>
      <c r="D16" s="514"/>
      <c r="E16" s="514"/>
      <c r="F16" s="514"/>
      <c r="G16" s="267" t="s">
        <v>373</v>
      </c>
      <c r="H16" s="431"/>
      <c r="I16" s="267" t="s">
        <v>373</v>
      </c>
      <c r="J16" s="431"/>
      <c r="K16" s="267" t="s">
        <v>373</v>
      </c>
      <c r="L16" s="431"/>
      <c r="M16" s="267" t="s">
        <v>373</v>
      </c>
      <c r="N16" s="515">
        <f>+H16-J16+L16</f>
        <v>0</v>
      </c>
      <c r="Q16"/>
      <c r="R16"/>
      <c r="S16"/>
      <c r="T16"/>
      <c r="U16"/>
      <c r="V16"/>
      <c r="W16"/>
    </row>
    <row r="17" spans="2:23" ht="21" customHeight="1">
      <c r="B17" s="368" t="s">
        <v>295</v>
      </c>
      <c r="C17" s="514"/>
      <c r="D17" s="514"/>
      <c r="E17" s="514"/>
      <c r="F17" s="514"/>
      <c r="G17" s="267" t="s">
        <v>373</v>
      </c>
      <c r="H17" s="431"/>
      <c r="I17" s="267" t="s">
        <v>373</v>
      </c>
      <c r="J17" s="431"/>
      <c r="K17" s="267" t="s">
        <v>373</v>
      </c>
      <c r="L17" s="431"/>
      <c r="M17" s="267" t="s">
        <v>373</v>
      </c>
      <c r="N17" s="515">
        <f t="shared" ref="N17:N23" si="0">+H17-J17+L17</f>
        <v>0</v>
      </c>
      <c r="Q17"/>
      <c r="R17"/>
      <c r="S17"/>
      <c r="T17"/>
      <c r="U17"/>
      <c r="V17"/>
      <c r="W17"/>
    </row>
    <row r="18" spans="2:23" ht="21" customHeight="1">
      <c r="B18" s="368" t="s">
        <v>296</v>
      </c>
      <c r="C18" s="514"/>
      <c r="D18" s="514"/>
      <c r="E18" s="514"/>
      <c r="F18" s="514"/>
      <c r="G18" s="267" t="s">
        <v>373</v>
      </c>
      <c r="H18" s="431"/>
      <c r="I18" s="267" t="s">
        <v>373</v>
      </c>
      <c r="J18" s="431"/>
      <c r="K18" s="267" t="s">
        <v>373</v>
      </c>
      <c r="L18" s="431"/>
      <c r="M18" s="267" t="s">
        <v>373</v>
      </c>
      <c r="N18" s="515">
        <f t="shared" si="0"/>
        <v>0</v>
      </c>
      <c r="Q18"/>
      <c r="R18"/>
      <c r="S18"/>
      <c r="T18"/>
      <c r="U18"/>
      <c r="V18"/>
      <c r="W18"/>
    </row>
    <row r="19" spans="2:23" ht="21" customHeight="1">
      <c r="B19" s="368"/>
      <c r="C19" s="840" t="s">
        <v>3207</v>
      </c>
      <c r="D19" s="840"/>
      <c r="E19" s="840"/>
      <c r="F19" s="840"/>
      <c r="G19" s="574" t="s">
        <v>373</v>
      </c>
      <c r="H19" s="431"/>
      <c r="I19" s="574" t="s">
        <v>373</v>
      </c>
      <c r="J19" s="431"/>
      <c r="K19" s="574" t="s">
        <v>373</v>
      </c>
      <c r="L19" s="431"/>
      <c r="M19" s="267" t="s">
        <v>373</v>
      </c>
      <c r="N19" s="515">
        <f t="shared" si="0"/>
        <v>0</v>
      </c>
      <c r="Q19"/>
      <c r="R19"/>
      <c r="S19"/>
      <c r="T19"/>
      <c r="U19"/>
      <c r="V19"/>
      <c r="W19"/>
    </row>
    <row r="20" spans="2:23" ht="21" customHeight="1">
      <c r="B20" s="368"/>
      <c r="C20" s="907" t="s">
        <v>3208</v>
      </c>
      <c r="D20" s="840"/>
      <c r="E20" s="840"/>
      <c r="F20" s="840"/>
      <c r="G20" s="574" t="s">
        <v>373</v>
      </c>
      <c r="H20" s="839">
        <f>H13+H15+H16+H17+H18+H19</f>
        <v>0</v>
      </c>
      <c r="I20" s="574" t="s">
        <v>373</v>
      </c>
      <c r="J20" s="839">
        <f>J13+J15+J16+J17+J18+J19</f>
        <v>0</v>
      </c>
      <c r="K20" s="574" t="s">
        <v>373</v>
      </c>
      <c r="L20" s="839">
        <f>L13+L15+L16+L17+L18+L19</f>
        <v>0</v>
      </c>
      <c r="M20" s="267" t="s">
        <v>373</v>
      </c>
      <c r="N20" s="839">
        <f>N13+N15+N16+N17+N18+N19</f>
        <v>0</v>
      </c>
      <c r="Q20"/>
      <c r="R20"/>
      <c r="S20"/>
      <c r="T20"/>
      <c r="U20"/>
      <c r="V20"/>
      <c r="W20"/>
    </row>
    <row r="21" spans="2:23" ht="21" customHeight="1">
      <c r="B21" s="368" t="s">
        <v>297</v>
      </c>
      <c r="C21" s="514"/>
      <c r="D21" s="514"/>
      <c r="E21" s="514"/>
      <c r="F21" s="514"/>
      <c r="G21" s="267" t="s">
        <v>373</v>
      </c>
      <c r="H21" s="431"/>
      <c r="I21" s="267" t="s">
        <v>373</v>
      </c>
      <c r="J21" s="431"/>
      <c r="K21" s="267" t="s">
        <v>373</v>
      </c>
      <c r="L21" s="431"/>
      <c r="M21" s="267" t="s">
        <v>373</v>
      </c>
      <c r="N21" s="515">
        <f t="shared" si="0"/>
        <v>0</v>
      </c>
      <c r="Q21"/>
      <c r="R21"/>
      <c r="S21"/>
      <c r="T21"/>
      <c r="U21"/>
      <c r="V21"/>
      <c r="W21"/>
    </row>
    <row r="22" spans="2:23" ht="21" customHeight="1">
      <c r="B22" s="368" t="s">
        <v>298</v>
      </c>
      <c r="C22" s="514"/>
      <c r="D22" s="514"/>
      <c r="E22" s="514"/>
      <c r="F22" s="514"/>
      <c r="G22" s="267" t="s">
        <v>373</v>
      </c>
      <c r="H22" s="431"/>
      <c r="I22" s="267" t="s">
        <v>373</v>
      </c>
      <c r="J22" s="431"/>
      <c r="K22" s="267" t="s">
        <v>373</v>
      </c>
      <c r="L22" s="431"/>
      <c r="M22" s="267" t="s">
        <v>373</v>
      </c>
      <c r="N22" s="515">
        <f t="shared" si="0"/>
        <v>0</v>
      </c>
      <c r="Q22"/>
      <c r="R22"/>
      <c r="S22"/>
      <c r="T22"/>
      <c r="U22"/>
      <c r="V22"/>
      <c r="W22"/>
    </row>
    <row r="23" spans="2:23" ht="21" customHeight="1">
      <c r="B23" s="368"/>
      <c r="C23" s="907" t="s">
        <v>3480</v>
      </c>
      <c r="D23" s="840"/>
      <c r="E23" s="840"/>
      <c r="F23" s="840"/>
      <c r="G23" s="574" t="s">
        <v>373</v>
      </c>
      <c r="H23" s="839">
        <f>H21+H22</f>
        <v>0</v>
      </c>
      <c r="I23" s="574" t="s">
        <v>373</v>
      </c>
      <c r="J23" s="839">
        <f>J21+J22</f>
        <v>0</v>
      </c>
      <c r="K23" s="574" t="s">
        <v>373</v>
      </c>
      <c r="L23" s="839">
        <f>L21+L22</f>
        <v>0</v>
      </c>
      <c r="M23" s="267" t="s">
        <v>373</v>
      </c>
      <c r="N23" s="515">
        <f t="shared" si="0"/>
        <v>0</v>
      </c>
      <c r="Q23"/>
      <c r="R23"/>
      <c r="S23"/>
      <c r="T23"/>
      <c r="U23"/>
      <c r="V23"/>
      <c r="W23"/>
    </row>
    <row r="24" spans="2:23">
      <c r="B24" s="368"/>
      <c r="Q24"/>
      <c r="R24"/>
      <c r="S24"/>
      <c r="T24"/>
      <c r="U24"/>
      <c r="V24"/>
      <c r="W24"/>
    </row>
    <row r="25" spans="2:23">
      <c r="B25" s="368"/>
      <c r="C25" s="267" t="s">
        <v>872</v>
      </c>
      <c r="Q25"/>
      <c r="R25"/>
      <c r="S25"/>
      <c r="T25"/>
      <c r="U25"/>
      <c r="V25"/>
      <c r="W25"/>
    </row>
    <row r="26" spans="2:23">
      <c r="B26" s="368"/>
      <c r="Q26"/>
      <c r="R26"/>
      <c r="S26"/>
      <c r="T26"/>
      <c r="U26"/>
      <c r="V26"/>
      <c r="W26"/>
    </row>
    <row r="27" spans="2:23">
      <c r="B27" s="368"/>
      <c r="Q27"/>
      <c r="R27"/>
      <c r="S27"/>
      <c r="T27"/>
      <c r="U27"/>
      <c r="V27"/>
      <c r="W27"/>
    </row>
    <row r="28" spans="2:23" ht="15.6">
      <c r="B28" s="1388" t="s">
        <v>3354</v>
      </c>
      <c r="C28" s="1388"/>
      <c r="D28" s="1388"/>
      <c r="E28" s="1388"/>
      <c r="F28" s="1388"/>
      <c r="G28" s="1388"/>
      <c r="H28" s="1388"/>
      <c r="I28" s="1388"/>
      <c r="J28" s="1388"/>
      <c r="K28" s="1388"/>
      <c r="L28" s="1388"/>
      <c r="M28" s="1388"/>
      <c r="N28" s="1388"/>
    </row>
    <row r="29" spans="2:23" ht="15.6">
      <c r="B29" s="1388" t="s">
        <v>3573</v>
      </c>
      <c r="C29" s="1388"/>
      <c r="D29" s="1388"/>
      <c r="E29" s="1388"/>
      <c r="F29" s="1388"/>
      <c r="G29" s="1388"/>
      <c r="H29" s="1388"/>
      <c r="I29" s="1388"/>
      <c r="J29" s="1388"/>
      <c r="K29" s="1388"/>
      <c r="L29" s="1388"/>
      <c r="M29" s="1388"/>
      <c r="N29" s="1388"/>
    </row>
    <row r="30" spans="2:23" ht="6.75" customHeight="1">
      <c r="B30" s="372"/>
      <c r="C30" s="372"/>
      <c r="D30" s="372"/>
      <c r="E30" s="372"/>
      <c r="F30" s="372"/>
      <c r="G30" s="372"/>
      <c r="H30" s="372"/>
      <c r="I30" s="372"/>
      <c r="J30" s="372"/>
      <c r="K30" s="372"/>
      <c r="L30" s="372"/>
      <c r="M30" s="372"/>
      <c r="N30" s="372"/>
    </row>
    <row r="31" spans="2:23" ht="18" customHeight="1">
      <c r="B31" s="368"/>
      <c r="D31" s="1390" t="s">
        <v>17</v>
      </c>
      <c r="E31" s="1390"/>
      <c r="F31" s="371"/>
      <c r="G31" s="1390" t="s">
        <v>413</v>
      </c>
      <c r="H31" s="1390"/>
      <c r="I31" s="1390"/>
      <c r="J31" s="1390"/>
      <c r="K31" s="1390"/>
      <c r="L31" s="1390"/>
      <c r="M31" s="371"/>
      <c r="N31" s="370" t="s">
        <v>414</v>
      </c>
    </row>
    <row r="32" spans="2:23" ht="21" customHeight="1">
      <c r="B32" s="368"/>
      <c r="C32" s="368" t="s">
        <v>292</v>
      </c>
      <c r="D32" s="514"/>
      <c r="E32" s="514"/>
      <c r="G32" s="514"/>
      <c r="H32" s="514"/>
      <c r="I32" s="514"/>
      <c r="J32" s="514"/>
      <c r="K32" s="514"/>
      <c r="L32" s="514"/>
      <c r="M32" s="267" t="s">
        <v>373</v>
      </c>
      <c r="N32" s="293"/>
    </row>
    <row r="33" spans="2:14" ht="21" customHeight="1">
      <c r="B33" s="368"/>
      <c r="C33" s="368" t="s">
        <v>293</v>
      </c>
      <c r="D33" s="514"/>
      <c r="E33" s="514"/>
      <c r="G33" s="514"/>
      <c r="H33" s="514"/>
      <c r="I33" s="514"/>
      <c r="J33" s="514"/>
      <c r="K33" s="514"/>
      <c r="L33" s="514"/>
      <c r="M33" s="267" t="s">
        <v>373</v>
      </c>
      <c r="N33" s="293"/>
    </row>
    <row r="34" spans="2:14" ht="21" customHeight="1">
      <c r="B34" s="368"/>
      <c r="C34" s="368" t="s">
        <v>294</v>
      </c>
      <c r="D34" s="514"/>
      <c r="E34" s="514"/>
      <c r="G34" s="514"/>
      <c r="H34" s="514"/>
      <c r="I34" s="514"/>
      <c r="J34" s="514"/>
      <c r="K34" s="514"/>
      <c r="L34" s="514"/>
      <c r="M34" s="267" t="s">
        <v>373</v>
      </c>
      <c r="N34" s="293"/>
    </row>
    <row r="35" spans="2:14" ht="21" customHeight="1">
      <c r="B35" s="368"/>
      <c r="C35" s="368" t="s">
        <v>295</v>
      </c>
      <c r="D35" s="514"/>
      <c r="E35" s="514"/>
      <c r="G35" s="514"/>
      <c r="H35" s="514"/>
      <c r="I35" s="514"/>
      <c r="J35" s="514"/>
      <c r="K35" s="514"/>
      <c r="L35" s="514"/>
      <c r="M35" s="267" t="s">
        <v>373</v>
      </c>
      <c r="N35" s="293"/>
    </row>
    <row r="36" spans="2:14" ht="21" customHeight="1">
      <c r="B36" s="368"/>
      <c r="C36" s="368" t="s">
        <v>296</v>
      </c>
      <c r="D36" s="514"/>
      <c r="E36" s="514"/>
      <c r="G36" s="514"/>
      <c r="H36" s="514"/>
      <c r="I36" s="514"/>
      <c r="J36" s="514"/>
      <c r="K36" s="514"/>
      <c r="L36" s="514"/>
      <c r="M36" s="267" t="s">
        <v>373</v>
      </c>
      <c r="N36" s="293"/>
    </row>
    <row r="37" spans="2:14">
      <c r="B37" s="368"/>
    </row>
    <row r="38" spans="2:14">
      <c r="B38" s="368"/>
    </row>
    <row r="39" spans="2:14">
      <c r="B39" s="368"/>
    </row>
    <row r="40" spans="2:14" ht="15.6">
      <c r="B40" s="1388" t="s">
        <v>250</v>
      </c>
      <c r="C40" s="1388"/>
      <c r="D40" s="1388"/>
      <c r="E40" s="1388"/>
      <c r="F40" s="1388"/>
      <c r="G40" s="1388"/>
      <c r="H40" s="1388"/>
      <c r="I40" s="1388"/>
      <c r="J40" s="1388"/>
      <c r="K40" s="1388"/>
      <c r="L40" s="1388"/>
      <c r="M40" s="1388"/>
      <c r="N40" s="1388"/>
    </row>
    <row r="41" spans="2:14">
      <c r="B41" s="368"/>
    </row>
    <row r="42" spans="2:14">
      <c r="B42" s="368"/>
      <c r="N42" s="302" t="s">
        <v>419</v>
      </c>
    </row>
    <row r="43" spans="2:14">
      <c r="B43" s="368"/>
      <c r="N43" s="302" t="s">
        <v>420</v>
      </c>
    </row>
    <row r="44" spans="2:14">
      <c r="B44" s="368"/>
      <c r="D44" s="1389" t="s">
        <v>416</v>
      </c>
      <c r="E44" s="1389"/>
      <c r="H44" s="1389" t="s">
        <v>417</v>
      </c>
      <c r="I44" s="1389"/>
      <c r="J44" s="369" t="s">
        <v>418</v>
      </c>
      <c r="L44" s="369" t="s">
        <v>414</v>
      </c>
      <c r="N44" s="369" t="str">
        <f>IF('KEY INPUTS'!C42="State Fiscal Year","Fiscal Year "&amp;'KEY INPUTS'!D33&amp;"",'KEY INPUTS'!D34)&amp;""</f>
        <v>2024</v>
      </c>
    </row>
    <row r="45" spans="2:14">
      <c r="B45" s="368"/>
    </row>
    <row r="46" spans="2:14" ht="21" customHeight="1">
      <c r="B46" s="368"/>
      <c r="C46" s="368" t="s">
        <v>292</v>
      </c>
      <c r="D46" s="514"/>
      <c r="E46" s="514"/>
      <c r="F46" s="514"/>
      <c r="G46" s="514"/>
      <c r="H46" s="514"/>
      <c r="I46" s="514"/>
      <c r="J46" s="514"/>
      <c r="K46" s="267" t="s">
        <v>373</v>
      </c>
      <c r="L46" s="293"/>
      <c r="M46" s="513"/>
      <c r="N46" s="293"/>
    </row>
    <row r="47" spans="2:14" ht="21" customHeight="1">
      <c r="B47" s="368"/>
      <c r="C47" s="368" t="s">
        <v>293</v>
      </c>
      <c r="D47" s="514"/>
      <c r="E47" s="514"/>
      <c r="F47" s="514"/>
      <c r="G47" s="514"/>
      <c r="H47" s="514"/>
      <c r="I47" s="514"/>
      <c r="J47" s="514"/>
      <c r="K47" s="267" t="s">
        <v>373</v>
      </c>
      <c r="L47" s="293"/>
      <c r="M47" s="513"/>
      <c r="N47" s="293"/>
    </row>
    <row r="48" spans="2:14" ht="21" customHeight="1">
      <c r="B48" s="368"/>
      <c r="C48" s="368" t="s">
        <v>294</v>
      </c>
      <c r="D48" s="514"/>
      <c r="E48" s="514"/>
      <c r="F48" s="514"/>
      <c r="G48" s="514"/>
      <c r="H48" s="514"/>
      <c r="I48" s="514"/>
      <c r="J48" s="514"/>
      <c r="K48" s="267" t="s">
        <v>373</v>
      </c>
      <c r="L48" s="293"/>
      <c r="M48" s="513"/>
      <c r="N48" s="293"/>
    </row>
    <row r="49" spans="2:14" ht="21" customHeight="1">
      <c r="B49" s="368"/>
      <c r="C49" s="368" t="s">
        <v>295</v>
      </c>
      <c r="D49" s="514"/>
      <c r="E49" s="514"/>
      <c r="F49" s="514"/>
      <c r="G49" s="514"/>
      <c r="H49" s="514"/>
      <c r="I49" s="514"/>
      <c r="J49" s="514"/>
      <c r="K49" s="267" t="s">
        <v>373</v>
      </c>
      <c r="L49" s="293"/>
      <c r="M49" s="513"/>
      <c r="N49" s="293"/>
    </row>
    <row r="50" spans="2:14">
      <c r="B50" s="368"/>
    </row>
    <row r="51" spans="2:14">
      <c r="B51" s="368"/>
    </row>
    <row r="52" spans="2:14">
      <c r="B52" s="368"/>
    </row>
    <row r="53" spans="2:14">
      <c r="B53" s="368"/>
    </row>
    <row r="54" spans="2:14">
      <c r="B54" s="368"/>
    </row>
    <row r="55" spans="2:14">
      <c r="B55" s="368"/>
    </row>
    <row r="56" spans="2:14">
      <c r="B56" s="368"/>
    </row>
    <row r="57" spans="2:14">
      <c r="B57" s="368"/>
    </row>
    <row r="58" spans="2:14">
      <c r="B58" s="368"/>
    </row>
    <row r="59" spans="2:14">
      <c r="B59" s="368"/>
    </row>
    <row r="60" spans="2:14">
      <c r="B60" s="368"/>
    </row>
    <row r="61" spans="2:14" ht="13.8">
      <c r="B61" s="1387" t="s">
        <v>3164</v>
      </c>
      <c r="C61" s="1387"/>
      <c r="D61" s="1387"/>
      <c r="E61" s="1387"/>
      <c r="F61" s="1387"/>
      <c r="G61" s="1387"/>
      <c r="H61" s="1387"/>
      <c r="I61" s="1387"/>
      <c r="J61" s="1387"/>
      <c r="K61" s="1387"/>
      <c r="L61" s="1387"/>
      <c r="M61" s="1387"/>
      <c r="N61" s="1387"/>
    </row>
    <row r="62" spans="2:14">
      <c r="B62" s="368"/>
    </row>
    <row r="63" spans="2:14">
      <c r="B63" s="368"/>
    </row>
    <row r="64" spans="2:14">
      <c r="B64" s="368"/>
    </row>
    <row r="65" spans="2:2">
      <c r="B65" s="368"/>
    </row>
    <row r="66" spans="2:2">
      <c r="B66" s="368"/>
    </row>
    <row r="67" spans="2:2">
      <c r="B67" s="368"/>
    </row>
    <row r="68" spans="2:2">
      <c r="B68" s="368"/>
    </row>
    <row r="69" spans="2:2">
      <c r="B69" s="368"/>
    </row>
  </sheetData>
  <sheetProtection algorithmName="SHA-512" hashValue="7uv7VHNH8BcVg0b6xkHUh5YynBtwGtfL5fqL1OjqhZKPPrSPtTKa6ICXonJiTAUe2EmtNOuYsh/e4Vz7UeU8xg==" saltValue="dDzqlcFrf4NbCtQYYMKwsA==" spinCount="100000" sheet="1" objects="1" scenarios="1"/>
  <mergeCells count="13">
    <mergeCell ref="B28:N28"/>
    <mergeCell ref="B3:N3"/>
    <mergeCell ref="B4:N4"/>
    <mergeCell ref="B5:N5"/>
    <mergeCell ref="B6:N6"/>
    <mergeCell ref="C9:E9"/>
    <mergeCell ref="B61:N61"/>
    <mergeCell ref="B29:N29"/>
    <mergeCell ref="D31:E31"/>
    <mergeCell ref="G31:L31"/>
    <mergeCell ref="B40:N40"/>
    <mergeCell ref="D44:E44"/>
    <mergeCell ref="H44:I44"/>
  </mergeCells>
  <pageMargins left="0.25" right="0.25" top="0.5" bottom="0.5" header="0.25" footer="0.25"/>
  <pageSetup paperSize="5" orientation="portrait" r:id="rId1"/>
  <headerFooter alignWithMargins="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977C6-2375-4E64-8BD1-52EB739019FE}">
  <sheetPr codeName="Sheet305">
    <tabColor theme="3" tint="0.79998168889431442"/>
  </sheetPr>
  <dimension ref="A2:O36"/>
  <sheetViews>
    <sheetView zoomScaleNormal="100" workbookViewId="0">
      <selection activeCell="I18" sqref="I18"/>
    </sheetView>
  </sheetViews>
  <sheetFormatPr defaultColWidth="9.109375" defaultRowHeight="13.2"/>
  <cols>
    <col min="1" max="1" width="5.6640625" customWidth="1"/>
    <col min="2" max="4" width="4.88671875" customWidth="1"/>
    <col min="5" max="5" width="46.6640625" customWidth="1"/>
    <col min="6" max="6" width="7.6640625" customWidth="1"/>
    <col min="7" max="8" width="16.6640625" customWidth="1"/>
    <col min="9" max="12" width="15.6640625" customWidth="1"/>
    <col min="13" max="13" width="10.44140625" bestFit="1" customWidth="1"/>
  </cols>
  <sheetData>
    <row r="2" spans="1:15" ht="17.399999999999999">
      <c r="B2" s="1186" t="s">
        <v>3527</v>
      </c>
      <c r="C2" s="1186"/>
      <c r="D2" s="1186"/>
      <c r="E2" s="1186"/>
      <c r="F2" s="1186"/>
      <c r="G2" s="1186"/>
      <c r="H2" s="1186"/>
      <c r="I2" s="1186"/>
      <c r="J2" s="1186"/>
      <c r="K2" s="1186"/>
      <c r="L2" s="1186"/>
    </row>
    <row r="5" spans="1:15" ht="13.8" thickBot="1"/>
    <row r="6" spans="1:15" ht="13.8" thickTop="1">
      <c r="B6" s="11"/>
      <c r="C6" s="11"/>
      <c r="D6" s="11"/>
      <c r="E6" s="752"/>
      <c r="F6" s="11"/>
      <c r="G6" s="12"/>
      <c r="H6" s="51"/>
      <c r="I6" s="12"/>
      <c r="J6" s="11"/>
      <c r="K6" s="11"/>
      <c r="L6" s="18"/>
    </row>
    <row r="7" spans="1:15" ht="15.6">
      <c r="B7" s="1174" t="s">
        <v>17</v>
      </c>
      <c r="C7" s="1174"/>
      <c r="D7" s="1174"/>
      <c r="E7" s="1252" t="s">
        <v>413</v>
      </c>
      <c r="F7" s="1214"/>
      <c r="G7" s="13" t="s">
        <v>414</v>
      </c>
      <c r="H7" s="1" t="s">
        <v>442</v>
      </c>
      <c r="I7" s="13" t="s">
        <v>529</v>
      </c>
      <c r="J7" s="1192" t="str">
        <f>"REDUCED  IN  "&amp;IF('KEY INPUTS'!C42="State Fiscal Year","FY  "&amp;'KEY INPUTS'!D33&amp;"",'KEY INPUTS'!D34)&amp;""</f>
        <v>REDUCED  IN  2024</v>
      </c>
      <c r="K7" s="1194"/>
      <c r="L7" s="21" t="s">
        <v>529</v>
      </c>
    </row>
    <row r="8" spans="1:15">
      <c r="E8" s="70"/>
      <c r="G8" s="13" t="s">
        <v>441</v>
      </c>
      <c r="H8" s="1" t="s">
        <v>443</v>
      </c>
      <c r="I8" s="245" t="str">
        <f>IF('KEY INPUTS'!C42 = "State Fiscal Year", 'KEY INPUTS'!F46,'KEY INPUTS'!D46)</f>
        <v>Dec. 31, 2023</v>
      </c>
      <c r="J8" s="13" t="str">
        <f>"By "&amp;IF('KEY INPUTS'!C42="State Fiscal Year","FY "&amp;'KEY INPUTS'!D33&amp;"",'KEY INPUTS'!D34)&amp;""</f>
        <v>By 2024</v>
      </c>
      <c r="K8" s="13" t="s">
        <v>439</v>
      </c>
      <c r="L8" s="244" t="str">
        <f>IF('KEY INPUTS'!C42 = "State Fiscal Year", 'KEY INPUTS'!F47,'KEY INPUTS'!D47)</f>
        <v>Dec. 31, 2024</v>
      </c>
    </row>
    <row r="9" spans="1:15" ht="13.8" thickBot="1">
      <c r="B9" s="10"/>
      <c r="C9" s="10"/>
      <c r="D9" s="10"/>
      <c r="E9" s="17"/>
      <c r="F9" s="10"/>
      <c r="G9" s="16"/>
      <c r="H9" s="29" t="s">
        <v>444</v>
      </c>
      <c r="I9" s="14"/>
      <c r="J9" s="16" t="s">
        <v>534</v>
      </c>
      <c r="K9" s="16" t="s">
        <v>440</v>
      </c>
      <c r="L9" s="19"/>
    </row>
    <row r="10" spans="1:15" ht="21" customHeight="1" thickTop="1">
      <c r="B10" s="1253"/>
      <c r="C10" s="1253"/>
      <c r="D10" s="1254"/>
      <c r="E10" s="441"/>
      <c r="F10" s="421"/>
      <c r="G10" s="442"/>
      <c r="H10" s="442"/>
      <c r="I10" s="443"/>
      <c r="J10" s="443"/>
      <c r="K10" s="443"/>
      <c r="L10" s="990">
        <f>+I10-J10-K10</f>
        <v>0</v>
      </c>
    </row>
    <row r="11" spans="1:15" ht="21" customHeight="1">
      <c r="B11" s="1255"/>
      <c r="C11" s="1156"/>
      <c r="D11" s="1256"/>
      <c r="E11" s="444"/>
      <c r="F11" s="423"/>
      <c r="G11" s="432"/>
      <c r="H11" s="432"/>
      <c r="I11" s="291"/>
      <c r="J11" s="291"/>
      <c r="K11" s="291"/>
      <c r="L11" s="991">
        <f>+I11-J11-K11</f>
        <v>0</v>
      </c>
      <c r="M11" s="204"/>
    </row>
    <row r="12" spans="1:15" ht="21" customHeight="1">
      <c r="B12" s="1255"/>
      <c r="C12" s="1156"/>
      <c r="D12" s="1256"/>
      <c r="E12" s="444"/>
      <c r="F12" s="423"/>
      <c r="G12" s="445"/>
      <c r="H12" s="432"/>
      <c r="I12" s="446"/>
      <c r="J12" s="291"/>
      <c r="K12" s="291"/>
      <c r="L12" s="991">
        <f t="shared" ref="L12:L23" si="0">+I12-J12-K12</f>
        <v>0</v>
      </c>
      <c r="M12" s="204"/>
    </row>
    <row r="13" spans="1:15" ht="21" customHeight="1">
      <c r="B13" s="1156"/>
      <c r="C13" s="1156"/>
      <c r="D13" s="1256"/>
      <c r="E13" s="444"/>
      <c r="F13" s="423"/>
      <c r="G13" s="432"/>
      <c r="H13" s="432"/>
      <c r="I13" s="291"/>
      <c r="J13" s="291"/>
      <c r="K13" s="291"/>
      <c r="L13" s="991">
        <f t="shared" si="0"/>
        <v>0</v>
      </c>
    </row>
    <row r="14" spans="1:15" ht="21" customHeight="1">
      <c r="B14" s="1255"/>
      <c r="C14" s="1156"/>
      <c r="D14" s="1256"/>
      <c r="E14" s="444"/>
      <c r="F14" s="423"/>
      <c r="G14" s="432"/>
      <c r="H14" s="432"/>
      <c r="I14" s="291"/>
      <c r="J14" s="291"/>
      <c r="K14" s="291"/>
      <c r="L14" s="991">
        <f t="shared" si="0"/>
        <v>0</v>
      </c>
      <c r="O14" s="294"/>
    </row>
    <row r="15" spans="1:15" ht="21" customHeight="1">
      <c r="B15" s="1255"/>
      <c r="C15" s="1156"/>
      <c r="D15" s="1256"/>
      <c r="E15" s="444"/>
      <c r="F15" s="423"/>
      <c r="G15" s="445"/>
      <c r="H15" s="432"/>
      <c r="I15" s="446"/>
      <c r="J15" s="291"/>
      <c r="K15" s="291"/>
      <c r="L15" s="991">
        <f t="shared" si="0"/>
        <v>0</v>
      </c>
    </row>
    <row r="16" spans="1:15" ht="21" customHeight="1">
      <c r="A16" s="1195" t="s">
        <v>3528</v>
      </c>
      <c r="B16" s="1156"/>
      <c r="C16" s="1156"/>
      <c r="D16" s="1256"/>
      <c r="E16" s="444"/>
      <c r="F16" s="423"/>
      <c r="G16" s="432"/>
      <c r="H16" s="432"/>
      <c r="I16" s="291"/>
      <c r="J16" s="291"/>
      <c r="K16" s="291"/>
      <c r="L16" s="991">
        <f t="shared" si="0"/>
        <v>0</v>
      </c>
    </row>
    <row r="17" spans="1:12" ht="21" customHeight="1">
      <c r="A17" s="1195"/>
      <c r="B17" s="1156"/>
      <c r="C17" s="1156"/>
      <c r="D17" s="1256"/>
      <c r="E17" s="444"/>
      <c r="F17" s="423"/>
      <c r="G17" s="432"/>
      <c r="H17" s="432"/>
      <c r="I17" s="291"/>
      <c r="J17" s="291"/>
      <c r="K17" s="291"/>
      <c r="L17" s="991">
        <f t="shared" si="0"/>
        <v>0</v>
      </c>
    </row>
    <row r="18" spans="1:12" ht="21" customHeight="1">
      <c r="A18" s="1195"/>
      <c r="B18" s="1156"/>
      <c r="C18" s="1156"/>
      <c r="D18" s="1256"/>
      <c r="E18" s="444"/>
      <c r="F18" s="423"/>
      <c r="G18" s="432"/>
      <c r="H18" s="432"/>
      <c r="I18" s="291"/>
      <c r="J18" s="291"/>
      <c r="K18" s="291"/>
      <c r="L18" s="991">
        <f t="shared" si="0"/>
        <v>0</v>
      </c>
    </row>
    <row r="19" spans="1:12" ht="21" customHeight="1">
      <c r="A19" s="265"/>
      <c r="B19" s="613"/>
      <c r="C19" s="613"/>
      <c r="D19" s="616"/>
      <c r="E19" s="444"/>
      <c r="F19" s="423"/>
      <c r="G19" s="432"/>
      <c r="H19" s="432"/>
      <c r="I19" s="291"/>
      <c r="J19" s="291"/>
      <c r="K19" s="291"/>
      <c r="L19" s="991">
        <f t="shared" si="0"/>
        <v>0</v>
      </c>
    </row>
    <row r="20" spans="1:12" ht="21" customHeight="1">
      <c r="A20" s="265"/>
      <c r="B20" s="613"/>
      <c r="C20" s="613"/>
      <c r="D20" s="616"/>
      <c r="E20" s="444"/>
      <c r="F20" s="423"/>
      <c r="G20" s="432"/>
      <c r="H20" s="432"/>
      <c r="I20" s="291"/>
      <c r="J20" s="291"/>
      <c r="K20" s="291"/>
      <c r="L20" s="991">
        <f t="shared" si="0"/>
        <v>0</v>
      </c>
    </row>
    <row r="21" spans="1:12" ht="21" customHeight="1">
      <c r="B21" s="1156"/>
      <c r="C21" s="1156"/>
      <c r="D21" s="1256"/>
      <c r="E21" s="444"/>
      <c r="F21" s="423"/>
      <c r="G21" s="432"/>
      <c r="H21" s="432"/>
      <c r="I21" s="291"/>
      <c r="J21" s="291"/>
      <c r="K21" s="291"/>
      <c r="L21" s="991">
        <f t="shared" si="0"/>
        <v>0</v>
      </c>
    </row>
    <row r="22" spans="1:12" ht="21" customHeight="1">
      <c r="B22" s="613"/>
      <c r="C22" s="613"/>
      <c r="D22" s="616"/>
      <c r="E22" s="444"/>
      <c r="F22" s="423"/>
      <c r="G22" s="432"/>
      <c r="H22" s="432"/>
      <c r="I22" s="291"/>
      <c r="J22" s="291"/>
      <c r="K22" s="291"/>
      <c r="L22" s="991">
        <f t="shared" si="0"/>
        <v>0</v>
      </c>
    </row>
    <row r="23" spans="1:12" ht="21" customHeight="1">
      <c r="B23" s="1156"/>
      <c r="C23" s="1156"/>
      <c r="D23" s="1256"/>
      <c r="E23" s="444"/>
      <c r="F23" s="423"/>
      <c r="G23" s="432"/>
      <c r="H23" s="432"/>
      <c r="I23" s="291"/>
      <c r="J23" s="291"/>
      <c r="K23" s="291"/>
      <c r="L23" s="991">
        <f t="shared" si="0"/>
        <v>0</v>
      </c>
    </row>
    <row r="24" spans="1:12" ht="21" customHeight="1" thickBot="1">
      <c r="F24" s="16" t="s">
        <v>639</v>
      </c>
      <c r="G24" s="724">
        <f t="shared" ref="G24:L24" si="1">SUM(G10:G23)</f>
        <v>0</v>
      </c>
      <c r="H24" s="724">
        <f t="shared" si="1"/>
        <v>0</v>
      </c>
      <c r="I24" s="724">
        <f t="shared" si="1"/>
        <v>0</v>
      </c>
      <c r="J24" s="724">
        <f t="shared" si="1"/>
        <v>0</v>
      </c>
      <c r="K24" s="724">
        <f t="shared" si="1"/>
        <v>0</v>
      </c>
      <c r="L24" s="640">
        <f t="shared" si="1"/>
        <v>0</v>
      </c>
    </row>
    <row r="25" spans="1:12" ht="12.75" customHeight="1" thickTop="1">
      <c r="I25" s="1"/>
      <c r="J25" s="1"/>
    </row>
    <row r="26" spans="1:12">
      <c r="B26" s="239" t="s">
        <v>3524</v>
      </c>
    </row>
    <row r="27" spans="1:12" ht="13.5" customHeight="1">
      <c r="B27" t="s">
        <v>123</v>
      </c>
    </row>
    <row r="28" spans="1:12" ht="13.5" customHeight="1">
      <c r="B28" s="34"/>
      <c r="J28" s="1164"/>
      <c r="K28" s="1164"/>
    </row>
    <row r="29" spans="1:12">
      <c r="J29" s="1257" t="s">
        <v>124</v>
      </c>
      <c r="K29" s="1257"/>
    </row>
    <row r="35" spans="9:12">
      <c r="L35" s="204">
        <f>+I24-J24-L24</f>
        <v>0</v>
      </c>
    </row>
    <row r="36" spans="9:12">
      <c r="I36" s="204"/>
      <c r="J36" s="204"/>
    </row>
  </sheetData>
  <sheetProtection algorithmName="SHA-512" hashValue="gEFlHAeedPQv8wp01ETDMgE3Wj/wc9OhoJsUYgkoPCFdw3QMF/DM3MhU3BJsNXj7tZ7qszrQVvbuGCiQnsMG5w==" saltValue="hTJo5GI1By4nb6t0T7PqFQ==" spinCount="100000" sheet="1" objects="1" scenarios="1"/>
  <mergeCells count="18">
    <mergeCell ref="A16:A18"/>
    <mergeCell ref="B16:D16"/>
    <mergeCell ref="B17:D17"/>
    <mergeCell ref="B18:D18"/>
    <mergeCell ref="B2:L2"/>
    <mergeCell ref="B7:D7"/>
    <mergeCell ref="E7:F7"/>
    <mergeCell ref="J7:K7"/>
    <mergeCell ref="B10:D10"/>
    <mergeCell ref="B11:D11"/>
    <mergeCell ref="B21:D21"/>
    <mergeCell ref="B23:D23"/>
    <mergeCell ref="J28:K28"/>
    <mergeCell ref="J29:K29"/>
    <mergeCell ref="B12:D12"/>
    <mergeCell ref="B13:D13"/>
    <mergeCell ref="B14:D14"/>
    <mergeCell ref="B15:D15"/>
  </mergeCells>
  <pageMargins left="0.25" right="0.25" top="0.5" bottom="0.5" header="0.25" footer="0.25"/>
  <pageSetup paperSize="5" orientation="landscape" r:id="rId1"/>
  <headerFooter alignWithMargins="0"/>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D0757-ECCB-4486-A4AA-EB80E6F9ECBF}">
  <sheetPr codeName="Sheet280">
    <tabColor theme="3" tint="0.79998168889431442"/>
  </sheetPr>
  <dimension ref="B2:U50"/>
  <sheetViews>
    <sheetView zoomScaleNormal="100" zoomScaleSheetLayoutView="80" workbookViewId="0">
      <selection activeCell="R28" sqref="R28"/>
    </sheetView>
  </sheetViews>
  <sheetFormatPr defaultColWidth="8.88671875" defaultRowHeight="13.2"/>
  <cols>
    <col min="1" max="4" width="4.6640625" style="267" customWidth="1"/>
    <col min="5" max="5" width="17.88671875" style="267" customWidth="1"/>
    <col min="6" max="6" width="8.88671875" style="267"/>
    <col min="7" max="7" width="16.6640625" style="267" customWidth="1"/>
    <col min="8" max="8" width="1.6640625" style="267" customWidth="1"/>
    <col min="9" max="9" width="15.6640625" style="267" customWidth="1"/>
    <col min="10" max="10" width="1.6640625" style="267" customWidth="1"/>
    <col min="11" max="11" width="8.6640625" style="267" customWidth="1"/>
    <col min="12" max="12" width="7.6640625" style="267" customWidth="1"/>
    <col min="13" max="15" width="8.88671875" style="267"/>
    <col min="16" max="17" width="10.33203125" style="267" bestFit="1" customWidth="1"/>
    <col min="18" max="16384" width="8.88671875" style="267"/>
  </cols>
  <sheetData>
    <row r="2" spans="2:21" ht="20.399999999999999">
      <c r="B2" s="1363" t="s">
        <v>127</v>
      </c>
      <c r="C2" s="1363"/>
      <c r="D2" s="1363"/>
      <c r="E2" s="1363"/>
      <c r="F2" s="1363"/>
      <c r="G2" s="1363"/>
      <c r="H2" s="1363"/>
      <c r="I2" s="1363"/>
      <c r="J2" s="1363"/>
      <c r="K2" s="1363"/>
      <c r="L2" s="1363"/>
    </row>
    <row r="3" spans="2:21" ht="20.399999999999999">
      <c r="B3" s="1363" t="str">
        <f>" AND  "&amp;IF('KEY INPUTS'!C42="State Fiscal Year","FISCAL  YEAR  "&amp;'KEY INPUTS'!D33+1&amp;"",'KEY INPUTS'!D34+1)&amp;"  DEBT  SERVICE  FOR  BONDS"</f>
        <v xml:space="preserve"> AND  2025  DEBT  SERVICE  FOR  BONDS</v>
      </c>
      <c r="C3" s="1363"/>
      <c r="D3" s="1363"/>
      <c r="E3" s="1363"/>
      <c r="F3" s="1363"/>
      <c r="G3" s="1363"/>
      <c r="H3" s="1363"/>
      <c r="I3" s="1363"/>
      <c r="J3" s="1363"/>
      <c r="K3" s="1363"/>
      <c r="L3" s="1363"/>
    </row>
    <row r="4" spans="2:21" ht="15.6">
      <c r="B4" s="1360" t="str">
        <f>UPPER('KEY INPUTS'!D59)&amp;" UTILITY  ASSESSMENT  BONDS"</f>
        <v xml:space="preserve"> UTILITY  ASSESSMENT  BONDS</v>
      </c>
      <c r="C4" s="1360"/>
      <c r="D4" s="1360"/>
      <c r="E4" s="1360"/>
      <c r="F4" s="1360"/>
      <c r="G4" s="1360"/>
      <c r="H4" s="1360"/>
      <c r="I4" s="1360"/>
      <c r="J4" s="1360"/>
      <c r="K4" s="1360"/>
      <c r="L4" s="1360"/>
    </row>
    <row r="5" spans="2:21" ht="9.75" customHeight="1" thickBot="1">
      <c r="B5" s="383"/>
      <c r="C5" s="383"/>
      <c r="D5" s="383"/>
      <c r="E5" s="383"/>
      <c r="F5" s="383"/>
      <c r="G5" s="383"/>
      <c r="H5" s="383"/>
      <c r="I5" s="383"/>
      <c r="J5" s="383"/>
      <c r="K5" s="383"/>
      <c r="L5" s="383"/>
    </row>
    <row r="6" spans="2:21" ht="27.75" customHeight="1" thickTop="1" thickBot="1">
      <c r="B6" s="364"/>
      <c r="C6" s="364"/>
      <c r="D6" s="364"/>
      <c r="E6" s="364"/>
      <c r="F6" s="364"/>
      <c r="G6" s="304" t="s">
        <v>96</v>
      </c>
      <c r="H6" s="1401" t="s">
        <v>97</v>
      </c>
      <c r="I6" s="1351"/>
      <c r="J6" s="1407" t="str">
        <f>IF('KEY INPUTS'!C42="State Fiscal Year","Fiscal Year "&amp;'KEY INPUTS'!D33+1&amp;"",'KEY INPUTS'!D34+1)&amp;"  Debt Service"</f>
        <v>2025  Debt Service</v>
      </c>
      <c r="K6" s="1407"/>
      <c r="L6" s="1407"/>
      <c r="O6"/>
      <c r="P6"/>
      <c r="Q6"/>
      <c r="R6"/>
      <c r="S6"/>
      <c r="T6"/>
      <c r="U6"/>
    </row>
    <row r="7" spans="2:21" ht="21" customHeight="1" thickTop="1">
      <c r="B7" s="363" t="str">
        <f>'32-Bond Schedule'!B7</f>
        <v>Outstanding - January 1, 2024</v>
      </c>
      <c r="C7" s="313"/>
      <c r="D7" s="313"/>
      <c r="E7" s="313"/>
      <c r="F7" s="313"/>
      <c r="G7" s="801" t="s">
        <v>627</v>
      </c>
      <c r="H7" s="1293"/>
      <c r="I7" s="1294"/>
      <c r="O7"/>
      <c r="P7"/>
      <c r="Q7"/>
      <c r="R7"/>
      <c r="S7"/>
      <c r="T7"/>
      <c r="U7"/>
    </row>
    <row r="8" spans="2:21" ht="21" customHeight="1">
      <c r="B8" s="248" t="s">
        <v>92</v>
      </c>
      <c r="C8" s="248"/>
      <c r="D8" s="248"/>
      <c r="E8" s="248"/>
      <c r="F8" s="248"/>
      <c r="G8" s="804" t="s">
        <v>627</v>
      </c>
      <c r="H8" s="1291"/>
      <c r="I8" s="1292"/>
      <c r="O8" s="294"/>
      <c r="P8"/>
      <c r="Q8"/>
      <c r="R8"/>
      <c r="S8"/>
      <c r="T8"/>
      <c r="U8"/>
    </row>
    <row r="9" spans="2:21" ht="21" customHeight="1">
      <c r="B9" s="248"/>
      <c r="C9" s="248"/>
      <c r="D9" s="248"/>
      <c r="E9" s="248"/>
      <c r="F9" s="248"/>
      <c r="G9" s="804"/>
      <c r="H9" s="382"/>
      <c r="I9" s="842"/>
      <c r="O9"/>
      <c r="P9"/>
      <c r="Q9"/>
      <c r="R9"/>
      <c r="S9"/>
      <c r="T9"/>
      <c r="U9"/>
    </row>
    <row r="10" spans="2:21" ht="21" customHeight="1">
      <c r="B10" s="248" t="s">
        <v>254</v>
      </c>
      <c r="C10" s="248"/>
      <c r="D10" s="248"/>
      <c r="E10" s="248"/>
      <c r="F10" s="248"/>
      <c r="G10" s="450"/>
      <c r="H10" s="1408" t="s">
        <v>627</v>
      </c>
      <c r="I10" s="1409"/>
      <c r="O10"/>
      <c r="P10"/>
      <c r="Q10"/>
      <c r="R10"/>
      <c r="S10"/>
      <c r="T10"/>
      <c r="U10"/>
    </row>
    <row r="11" spans="2:21" ht="21" customHeight="1" thickBot="1">
      <c r="B11" s="248" t="str">
        <f>'32-Bond Schedule'!B11</f>
        <v>Outstanding - December 31, 2024</v>
      </c>
      <c r="C11" s="248"/>
      <c r="D11" s="248"/>
      <c r="E11" s="248"/>
      <c r="F11" s="248"/>
      <c r="G11" s="783">
        <f>+H7+H8-G10</f>
        <v>0</v>
      </c>
      <c r="H11" s="1405" t="s">
        <v>627</v>
      </c>
      <c r="I11" s="1406"/>
      <c r="O11"/>
      <c r="P11"/>
      <c r="Q11"/>
      <c r="R11"/>
      <c r="S11"/>
      <c r="T11"/>
      <c r="U11"/>
    </row>
    <row r="12" spans="2:21" ht="21" customHeight="1" thickBot="1">
      <c r="G12" s="785">
        <f>SUM(G7:G11)</f>
        <v>0</v>
      </c>
      <c r="H12" s="1393">
        <f>SUM(H7:I11)</f>
        <v>0</v>
      </c>
      <c r="I12" s="1394"/>
      <c r="O12"/>
      <c r="P12"/>
      <c r="Q12"/>
      <c r="R12"/>
      <c r="S12"/>
      <c r="T12"/>
      <c r="U12"/>
    </row>
    <row r="13" spans="2:21" ht="21" customHeight="1" thickTop="1">
      <c r="B13" s="333" t="str">
        <f>'49-Utility1'!B13</f>
        <v>2025 Bond Maturities - Assessment Bonds</v>
      </c>
      <c r="C13" s="333"/>
      <c r="D13" s="333"/>
      <c r="E13" s="333"/>
      <c r="F13" s="333"/>
      <c r="G13" s="333"/>
      <c r="H13" s="333"/>
      <c r="I13" s="381"/>
      <c r="J13" s="333" t="s">
        <v>373</v>
      </c>
      <c r="K13" s="1311"/>
      <c r="L13" s="1311"/>
      <c r="O13"/>
      <c r="P13"/>
      <c r="Q13"/>
      <c r="R13"/>
      <c r="S13"/>
      <c r="T13"/>
      <c r="U13"/>
    </row>
    <row r="14" spans="2:21" ht="21" customHeight="1" thickBot="1">
      <c r="B14" s="311" t="str">
        <f>'49-Utility1'!B14</f>
        <v>2025 Interest on Bonds</v>
      </c>
      <c r="C14" s="311"/>
      <c r="D14" s="311"/>
      <c r="E14" s="311"/>
      <c r="F14" s="311"/>
      <c r="G14" s="380"/>
      <c r="H14" s="311" t="s">
        <v>373</v>
      </c>
      <c r="I14" s="456"/>
      <c r="O14"/>
      <c r="P14"/>
      <c r="Q14"/>
      <c r="R14"/>
      <c r="S14"/>
      <c r="T14"/>
      <c r="U14"/>
    </row>
    <row r="15" spans="2:21" ht="16.5" customHeight="1" thickTop="1">
      <c r="B15" s="1402"/>
      <c r="C15" s="1402"/>
      <c r="D15" s="1402"/>
      <c r="E15" s="1402"/>
      <c r="F15" s="1402"/>
      <c r="G15" s="1402"/>
      <c r="H15" s="1402"/>
      <c r="I15" s="1403"/>
      <c r="O15"/>
      <c r="P15"/>
      <c r="Q15"/>
      <c r="R15"/>
      <c r="S15"/>
      <c r="T15"/>
      <c r="U15"/>
    </row>
    <row r="16" spans="2:21" ht="26.25" customHeight="1" thickBot="1">
      <c r="B16" s="1420" t="str">
        <f>UPPER('KEY INPUTS'!D59) &amp;" UTILITY  CAPITAL  BONDS"</f>
        <v xml:space="preserve"> UTILITY  CAPITAL  BONDS</v>
      </c>
      <c r="C16" s="1420"/>
      <c r="D16" s="1420"/>
      <c r="E16" s="1420"/>
      <c r="F16" s="1420"/>
      <c r="G16" s="1420"/>
      <c r="H16" s="1420"/>
      <c r="I16" s="1421"/>
      <c r="O16"/>
      <c r="P16"/>
      <c r="Q16"/>
      <c r="R16"/>
      <c r="S16"/>
      <c r="T16"/>
      <c r="U16"/>
    </row>
    <row r="17" spans="2:21" ht="21" customHeight="1" thickTop="1">
      <c r="B17" s="363" t="str">
        <f>'32-Bond Schedule'!B7</f>
        <v>Outstanding - January 1, 2024</v>
      </c>
      <c r="C17" s="313"/>
      <c r="D17" s="313"/>
      <c r="E17" s="313"/>
      <c r="F17" s="313"/>
      <c r="G17" s="801" t="s">
        <v>627</v>
      </c>
      <c r="H17" s="1293"/>
      <c r="I17" s="1294"/>
      <c r="O17"/>
      <c r="P17"/>
      <c r="Q17"/>
      <c r="R17"/>
      <c r="S17"/>
      <c r="T17"/>
      <c r="U17"/>
    </row>
    <row r="18" spans="2:21" ht="21" customHeight="1">
      <c r="B18" s="248" t="s">
        <v>92</v>
      </c>
      <c r="C18" s="248"/>
      <c r="D18" s="248"/>
      <c r="E18" s="248"/>
      <c r="F18" s="248"/>
      <c r="G18" s="804" t="s">
        <v>627</v>
      </c>
      <c r="H18" s="1291"/>
      <c r="I18" s="1292"/>
      <c r="O18"/>
      <c r="P18"/>
      <c r="Q18"/>
      <c r="R18"/>
      <c r="S18"/>
      <c r="T18"/>
      <c r="U18"/>
    </row>
    <row r="19" spans="2:21" ht="21" customHeight="1">
      <c r="B19" s="248" t="s">
        <v>254</v>
      </c>
      <c r="C19" s="248"/>
      <c r="D19" s="248"/>
      <c r="E19" s="248"/>
      <c r="F19" s="248"/>
      <c r="G19" s="450"/>
      <c r="H19" s="1408" t="s">
        <v>627</v>
      </c>
      <c r="I19" s="1409"/>
      <c r="O19"/>
      <c r="P19"/>
      <c r="Q19"/>
      <c r="R19"/>
      <c r="S19"/>
      <c r="T19"/>
      <c r="U19"/>
    </row>
    <row r="20" spans="2:21" ht="21" customHeight="1">
      <c r="B20" s="248"/>
      <c r="C20" s="248"/>
      <c r="D20" s="248"/>
      <c r="E20" s="248"/>
      <c r="F20" s="248"/>
      <c r="G20" s="533"/>
      <c r="H20" s="1395"/>
      <c r="I20" s="1396"/>
      <c r="O20"/>
      <c r="P20"/>
      <c r="Q20"/>
      <c r="R20"/>
      <c r="S20"/>
      <c r="T20"/>
      <c r="U20"/>
    </row>
    <row r="21" spans="2:21" ht="21" customHeight="1">
      <c r="B21" s="248"/>
      <c r="C21" s="248"/>
      <c r="D21" s="248"/>
      <c r="E21" s="248"/>
      <c r="F21" s="248"/>
      <c r="G21" s="533"/>
      <c r="H21" s="1395"/>
      <c r="I21" s="1396"/>
      <c r="O21"/>
      <c r="P21"/>
      <c r="Q21"/>
      <c r="R21"/>
      <c r="S21"/>
      <c r="T21"/>
      <c r="U21"/>
    </row>
    <row r="22" spans="2:21" ht="21" customHeight="1" thickBot="1">
      <c r="B22" s="248" t="str">
        <f>'32-Bond Schedule'!B11</f>
        <v>Outstanding - December 31, 2024</v>
      </c>
      <c r="C22" s="248"/>
      <c r="D22" s="248"/>
      <c r="E22" s="248"/>
      <c r="F22" s="248"/>
      <c r="G22" s="783">
        <f>+H17+H18-G19-G20-G21+H20+H21</f>
        <v>0</v>
      </c>
      <c r="H22" s="1405" t="s">
        <v>627</v>
      </c>
      <c r="I22" s="1406"/>
      <c r="O22"/>
      <c r="P22"/>
      <c r="Q22"/>
      <c r="R22"/>
      <c r="S22"/>
      <c r="T22"/>
      <c r="U22"/>
    </row>
    <row r="23" spans="2:21" ht="21" customHeight="1" thickBot="1">
      <c r="G23" s="785">
        <f>SUM(G17:G22)</f>
        <v>0</v>
      </c>
      <c r="H23" s="1393">
        <f>SUM(H17:I22)</f>
        <v>0</v>
      </c>
      <c r="I23" s="1394"/>
    </row>
    <row r="24" spans="2:21" ht="21" customHeight="1" thickTop="1">
      <c r="B24" s="333" t="str">
        <f>'49-Utility1'!B24</f>
        <v>2025 Bond Maturities - Capital Bonds</v>
      </c>
      <c r="C24" s="333"/>
      <c r="D24" s="333"/>
      <c r="E24" s="333"/>
      <c r="F24" s="333"/>
      <c r="G24" s="333"/>
      <c r="H24" s="333"/>
      <c r="I24" s="913"/>
      <c r="J24" s="333" t="s">
        <v>373</v>
      </c>
      <c r="K24" s="1311"/>
      <c r="L24" s="1311"/>
    </row>
    <row r="25" spans="2:21" ht="21" customHeight="1" thickBot="1">
      <c r="B25" s="311" t="str">
        <f>'49-Utility1'!B25</f>
        <v>2025 Interest on Bonds</v>
      </c>
      <c r="C25" s="311"/>
      <c r="D25" s="311"/>
      <c r="E25" s="311"/>
      <c r="F25" s="311"/>
      <c r="G25" s="380"/>
      <c r="H25" s="311" t="s">
        <v>373</v>
      </c>
      <c r="I25" s="456"/>
      <c r="J25" s="375"/>
      <c r="K25" s="311"/>
      <c r="L25" s="311" t="s">
        <v>3131</v>
      </c>
    </row>
    <row r="26" spans="2:21" ht="21" customHeight="1" thickTop="1"/>
    <row r="27" spans="2:21" ht="19.5" customHeight="1" thickBot="1">
      <c r="B27" s="1420" t="str">
        <f>"INTEREST  ON  BONDS  -  "&amp;UPPER('KEY INPUTS'!D59)&amp;"  UTILITY  BUDGET"</f>
        <v>INTEREST  ON  BONDS  -    UTILITY  BUDGET</v>
      </c>
      <c r="C27" s="1420"/>
      <c r="D27" s="1420"/>
      <c r="E27" s="1420"/>
      <c r="F27" s="1420"/>
      <c r="G27" s="1420"/>
      <c r="H27" s="1420"/>
      <c r="I27" s="1420"/>
      <c r="J27" s="1420"/>
      <c r="K27" s="1420"/>
      <c r="L27" s="1420"/>
    </row>
    <row r="28" spans="2:21" ht="21" customHeight="1" thickTop="1">
      <c r="B28" s="313" t="str">
        <f>'49-Utility1'!B28</f>
        <v>2025 Interest on Bonds (*Items)</v>
      </c>
      <c r="C28" s="313"/>
      <c r="D28" s="313"/>
      <c r="E28" s="313"/>
      <c r="F28" s="313"/>
      <c r="G28" s="313"/>
      <c r="H28" s="313" t="s">
        <v>373</v>
      </c>
      <c r="I28" s="384">
        <f>+I14+I25</f>
        <v>0</v>
      </c>
      <c r="O28" s="355"/>
      <c r="P28" s="355"/>
      <c r="Q28" s="355"/>
      <c r="R28" s="355"/>
    </row>
    <row r="29" spans="2:21" ht="21" customHeight="1">
      <c r="B29" s="248" t="str">
        <f>'49-Utility1'!B29</f>
        <v>Less: Interest Accrued to 12/31/2024 (Trial Balance)</v>
      </c>
      <c r="C29" s="248"/>
      <c r="D29" s="248"/>
      <c r="E29" s="248"/>
      <c r="F29" s="248"/>
      <c r="G29" s="248"/>
      <c r="H29" s="248" t="s">
        <v>373</v>
      </c>
      <c r="I29" s="517"/>
      <c r="O29" s="355"/>
      <c r="P29" s="355"/>
      <c r="Q29" s="355"/>
      <c r="R29" s="355"/>
    </row>
    <row r="30" spans="2:21" ht="21" customHeight="1">
      <c r="B30" s="248"/>
      <c r="C30" s="248" t="s">
        <v>317</v>
      </c>
      <c r="D30" s="248"/>
      <c r="E30" s="248"/>
      <c r="F30" s="248"/>
      <c r="G30" s="248"/>
      <c r="H30" s="248" t="s">
        <v>373</v>
      </c>
      <c r="I30" s="379">
        <f>+I28-I29</f>
        <v>0</v>
      </c>
      <c r="O30" s="355"/>
      <c r="P30" s="355"/>
      <c r="Q30" s="355"/>
      <c r="R30" s="355"/>
    </row>
    <row r="31" spans="2:21" ht="21" customHeight="1">
      <c r="B31" s="248" t="str">
        <f>'49-Utility1'!B31</f>
        <v>Add: Interest to be Accrued as of 12/31/2025</v>
      </c>
      <c r="C31" s="248"/>
      <c r="D31" s="248"/>
      <c r="E31" s="248"/>
      <c r="F31" s="248"/>
      <c r="G31" s="248"/>
      <c r="H31" s="248" t="s">
        <v>373</v>
      </c>
      <c r="I31" s="517"/>
      <c r="O31" s="355"/>
      <c r="P31" s="355"/>
      <c r="Q31" s="355"/>
      <c r="R31" s="355"/>
    </row>
    <row r="32" spans="2:21" ht="21" customHeight="1">
      <c r="B32" s="248" t="str">
        <f>'49-Utility1'!B32</f>
        <v>Required Appropriation 2025</v>
      </c>
      <c r="C32" s="248"/>
      <c r="D32" s="248"/>
      <c r="E32" s="248"/>
      <c r="F32" s="248"/>
      <c r="G32" s="248"/>
      <c r="H32" s="248"/>
      <c r="I32" s="919"/>
      <c r="J32" s="376" t="s">
        <v>373</v>
      </c>
      <c r="K32" s="1414">
        <f>+I30+I31</f>
        <v>0</v>
      </c>
      <c r="L32" s="1415"/>
      <c r="O32" s="355"/>
      <c r="P32" s="355"/>
      <c r="Q32" s="355"/>
      <c r="R32" s="355"/>
    </row>
    <row r="33" spans="2:12" ht="13.5" customHeight="1">
      <c r="K33" s="378"/>
      <c r="L33" s="302"/>
    </row>
    <row r="34" spans="2:12" ht="13.5" customHeight="1">
      <c r="K34" s="378"/>
      <c r="L34" s="302"/>
    </row>
    <row r="35" spans="2:12" ht="21" customHeight="1" thickBot="1">
      <c r="B35" s="1404" t="str">
        <f>'49-Utility1'!B35</f>
        <v>LIST  OF  BONDS  ISSUED  DURING  2024</v>
      </c>
      <c r="C35" s="1404"/>
      <c r="D35" s="1404"/>
      <c r="E35" s="1404"/>
      <c r="F35" s="1404"/>
      <c r="G35" s="1404"/>
      <c r="H35" s="1404"/>
      <c r="I35" s="1404"/>
      <c r="J35" s="1404"/>
      <c r="K35" s="1404"/>
      <c r="L35" s="1404"/>
    </row>
    <row r="36" spans="2:12" ht="27" customHeight="1" thickTop="1" thickBot="1">
      <c r="B36" s="1350" t="s">
        <v>413</v>
      </c>
      <c r="C36" s="1350"/>
      <c r="D36" s="1350"/>
      <c r="E36" s="1350"/>
      <c r="F36" s="1350"/>
      <c r="G36" s="304" t="str">
        <f>'49-Utility1'!G36</f>
        <v>2025 Maturity</v>
      </c>
      <c r="H36" s="1401" t="s">
        <v>91</v>
      </c>
      <c r="I36" s="1351"/>
      <c r="J36" s="1399" t="s">
        <v>89</v>
      </c>
      <c r="K36" s="1400"/>
      <c r="L36" s="377" t="s">
        <v>90</v>
      </c>
    </row>
    <row r="37" spans="2:12" ht="21" customHeight="1" thickTop="1">
      <c r="B37" s="518"/>
      <c r="C37" s="518"/>
      <c r="D37" s="518"/>
      <c r="E37" s="518"/>
      <c r="F37" s="518"/>
      <c r="G37" s="454"/>
      <c r="H37" s="1293"/>
      <c r="I37" s="1294"/>
      <c r="J37" s="1416"/>
      <c r="K37" s="1417"/>
      <c r="L37" s="671"/>
    </row>
    <row r="38" spans="2:12" ht="21" customHeight="1">
      <c r="B38" s="495"/>
      <c r="C38" s="495"/>
      <c r="D38" s="495"/>
      <c r="E38" s="495"/>
      <c r="F38" s="495"/>
      <c r="G38" s="450"/>
      <c r="H38" s="1291"/>
      <c r="I38" s="1292"/>
      <c r="J38" s="1397"/>
      <c r="K38" s="1398"/>
      <c r="L38" s="670"/>
    </row>
    <row r="39" spans="2:12" ht="21" customHeight="1">
      <c r="B39" s="495"/>
      <c r="C39" s="495"/>
      <c r="D39" s="495"/>
      <c r="E39" s="495"/>
      <c r="F39" s="495"/>
      <c r="G39" s="450"/>
      <c r="H39" s="1291"/>
      <c r="I39" s="1292"/>
      <c r="J39" s="1397"/>
      <c r="K39" s="1398"/>
      <c r="L39" s="670"/>
    </row>
    <row r="40" spans="2:12" ht="21" customHeight="1">
      <c r="B40" s="495"/>
      <c r="C40" s="495"/>
      <c r="D40" s="495"/>
      <c r="E40" s="495"/>
      <c r="F40" s="495"/>
      <c r="G40" s="450"/>
      <c r="H40" s="1291"/>
      <c r="I40" s="1292"/>
      <c r="J40" s="1397"/>
      <c r="K40" s="1398"/>
      <c r="L40" s="670"/>
    </row>
    <row r="41" spans="2:12" ht="21" customHeight="1" thickBot="1">
      <c r="B41" s="311"/>
      <c r="C41" s="311"/>
      <c r="D41" s="311"/>
      <c r="E41" s="311"/>
      <c r="F41" s="310"/>
      <c r="G41" s="785">
        <f>SUM(G37:G40)</f>
        <v>0</v>
      </c>
      <c r="H41" s="1410">
        <f>SUM(H37:I40)</f>
        <v>0</v>
      </c>
      <c r="I41" s="1411"/>
      <c r="J41" s="375"/>
      <c r="K41" s="311"/>
      <c r="L41" s="315"/>
    </row>
    <row r="42" spans="2:12" ht="13.8" thickTop="1">
      <c r="G42" s="347"/>
      <c r="H42" s="347"/>
      <c r="I42" s="347"/>
    </row>
    <row r="50" spans="2:12" ht="13.8">
      <c r="B50" s="1353" t="s">
        <v>3165</v>
      </c>
      <c r="C50" s="1353"/>
      <c r="D50" s="1353"/>
      <c r="E50" s="1353"/>
      <c r="F50" s="1353"/>
      <c r="G50" s="1353"/>
      <c r="H50" s="1353"/>
      <c r="I50" s="1353"/>
      <c r="J50" s="1353"/>
      <c r="K50" s="1353"/>
      <c r="L50" s="1353"/>
    </row>
  </sheetData>
  <sheetProtection algorithmName="SHA-512" hashValue="2dWfxZ5TF8LVZL3UW/6bm0wWVVJdboQLOFYhGax2borsF1Dmjis+zCFke4QWI/CC1U1LrWk4H0RaA5R5ywIaaA==" saltValue="jaVt7FFnQa4efZoK0YanPQ=="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0:L50"/>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A65F5-46C2-4A7C-AE56-107B51FF86F9}">
  <sheetPr codeName="Sheet281">
    <tabColor theme="3" tint="0.79998168889431442"/>
  </sheetPr>
  <dimension ref="B2:U51"/>
  <sheetViews>
    <sheetView zoomScaleNormal="100" zoomScaleSheetLayoutView="80" workbookViewId="0">
      <selection activeCell="G37" sqref="G37"/>
    </sheetView>
  </sheetViews>
  <sheetFormatPr defaultColWidth="9.109375" defaultRowHeight="13.2"/>
  <cols>
    <col min="1" max="3" width="4.6640625" style="267" customWidth="1"/>
    <col min="4" max="4" width="4.5546875" style="267" customWidth="1"/>
    <col min="5" max="5" width="17.88671875" style="267" customWidth="1"/>
    <col min="6" max="6" width="9.109375" style="267"/>
    <col min="7" max="7" width="16.6640625" style="267" customWidth="1"/>
    <col min="8" max="8" width="1.6640625" style="267" customWidth="1"/>
    <col min="9" max="9" width="15.6640625" style="267" customWidth="1"/>
    <col min="10" max="10" width="1.6640625" style="267" customWidth="1"/>
    <col min="11" max="11" width="8.6640625" style="267" customWidth="1"/>
    <col min="12" max="12" width="7.6640625" style="267" customWidth="1"/>
    <col min="13" max="16" width="9.109375" style="267"/>
    <col min="17" max="17" width="11.109375" style="267" bestFit="1" customWidth="1"/>
    <col min="18" max="18" width="14.44140625" style="267" customWidth="1"/>
    <col min="19" max="16384" width="9.109375" style="267"/>
  </cols>
  <sheetData>
    <row r="2" spans="2:21" ht="20.399999999999999">
      <c r="B2" s="1363" t="s">
        <v>480</v>
      </c>
      <c r="C2" s="1363"/>
      <c r="D2" s="1363"/>
      <c r="E2" s="1363"/>
      <c r="F2" s="1363"/>
      <c r="G2" s="1363"/>
      <c r="H2" s="1363"/>
      <c r="I2" s="1363"/>
      <c r="J2" s="1363"/>
      <c r="K2" s="1363"/>
      <c r="L2" s="1363"/>
    </row>
    <row r="3" spans="2:21" ht="21" thickBot="1">
      <c r="B3" s="1363" t="str">
        <f>" AND  "&amp;IF('KEY INPUTS'!C42="State Fiscal Year","FISCAL  YEAR  "&amp;'KEY INPUTS'!D33+1&amp;"",'KEY INPUTS'!D34+1)&amp;"  DEBT  SERVICE  FOR  LOANS"</f>
        <v xml:space="preserve"> AND  2025  DEBT  SERVICE  FOR  LOANS</v>
      </c>
      <c r="C3" s="1363"/>
      <c r="D3" s="1363"/>
      <c r="E3" s="1363"/>
      <c r="F3" s="1363"/>
      <c r="G3" s="1363"/>
      <c r="H3" s="1363"/>
      <c r="I3" s="1363"/>
      <c r="J3" s="1363"/>
      <c r="K3" s="1363"/>
      <c r="L3" s="1363"/>
    </row>
    <row r="4" spans="2:21" ht="16.2" thickBot="1">
      <c r="B4" s="1360" t="str">
        <f>UPPER('KEY INPUTS'!D$59)&amp;" UTILITY "&amp;IF(R4&lt;&gt;"",(UPPER(R4)),"")&amp;" LOAN"</f>
        <v xml:space="preserve"> UTILITY  LOAN</v>
      </c>
      <c r="C4" s="1360"/>
      <c r="D4" s="1360"/>
      <c r="E4" s="1360"/>
      <c r="F4" s="1360"/>
      <c r="G4" s="1360"/>
      <c r="H4" s="1360"/>
      <c r="I4" s="1360"/>
      <c r="J4" s="1360"/>
      <c r="K4" s="1360"/>
      <c r="L4" s="1360"/>
      <c r="Q4" s="1056" t="s">
        <v>3576</v>
      </c>
      <c r="R4" s="1057"/>
    </row>
    <row r="5" spans="2:21" ht="9.75" customHeight="1" thickBot="1">
      <c r="B5" s="383"/>
      <c r="C5" s="383"/>
      <c r="D5" s="383"/>
      <c r="E5" s="383"/>
      <c r="F5" s="383"/>
      <c r="G5" s="383"/>
      <c r="H5" s="383"/>
      <c r="I5" s="383"/>
      <c r="J5" s="383"/>
      <c r="K5" s="383"/>
      <c r="L5" s="383"/>
    </row>
    <row r="6" spans="2:21" ht="27.75" customHeight="1" thickTop="1" thickBot="1">
      <c r="B6" s="364"/>
      <c r="C6" s="364"/>
      <c r="D6" s="364"/>
      <c r="E6" s="364"/>
      <c r="F6" s="364"/>
      <c r="G6" s="304" t="s">
        <v>96</v>
      </c>
      <c r="H6" s="1401" t="s">
        <v>97</v>
      </c>
      <c r="I6" s="1351"/>
      <c r="J6" s="1407" t="str">
        <f>IF('KEY INPUTS'!C42="State Fiscal Year","Fiscal Year "&amp;'KEY INPUTS'!D33+1&amp;"",'KEY INPUTS'!D34+1)&amp;"  Debt Service"</f>
        <v>2025  Debt Service</v>
      </c>
      <c r="K6" s="1407"/>
      <c r="L6" s="1407"/>
      <c r="O6"/>
      <c r="P6"/>
      <c r="Q6"/>
      <c r="R6"/>
      <c r="S6"/>
      <c r="T6"/>
      <c r="U6"/>
    </row>
    <row r="7" spans="2:21" ht="21" customHeight="1" thickTop="1">
      <c r="B7" s="363" t="str">
        <f>'49a-Utility2'!B7</f>
        <v>Outstanding - January 1, 2024</v>
      </c>
      <c r="C7" s="313"/>
      <c r="D7" s="313"/>
      <c r="E7" s="313"/>
      <c r="F7" s="313"/>
      <c r="G7" s="757" t="s">
        <v>627</v>
      </c>
      <c r="H7" s="1293"/>
      <c r="I7" s="1294"/>
      <c r="O7"/>
      <c r="P7"/>
      <c r="Q7"/>
      <c r="R7"/>
      <c r="S7"/>
      <c r="T7"/>
      <c r="U7"/>
    </row>
    <row r="8" spans="2:21" ht="21" customHeight="1">
      <c r="B8" s="248" t="s">
        <v>92</v>
      </c>
      <c r="C8" s="248"/>
      <c r="D8" s="248"/>
      <c r="E8" s="248"/>
      <c r="F8" s="248"/>
      <c r="G8" s="702" t="s">
        <v>627</v>
      </c>
      <c r="H8" s="1291"/>
      <c r="I8" s="1292"/>
      <c r="O8" s="294"/>
      <c r="P8"/>
      <c r="Q8"/>
      <c r="R8"/>
      <c r="S8"/>
      <c r="T8"/>
      <c r="U8"/>
    </row>
    <row r="9" spans="2:21" ht="21" customHeight="1">
      <c r="B9" s="248"/>
      <c r="C9" s="248"/>
      <c r="D9" s="248"/>
      <c r="E9" s="248"/>
      <c r="F9" s="248"/>
      <c r="G9" s="702"/>
      <c r="H9" s="914"/>
      <c r="I9" s="915"/>
      <c r="O9"/>
      <c r="P9"/>
      <c r="Q9"/>
      <c r="R9"/>
      <c r="S9"/>
      <c r="T9"/>
      <c r="U9"/>
    </row>
    <row r="10" spans="2:21" ht="21" customHeight="1">
      <c r="B10" s="248" t="s">
        <v>254</v>
      </c>
      <c r="C10" s="248"/>
      <c r="D10" s="248"/>
      <c r="E10" s="248"/>
      <c r="F10" s="248"/>
      <c r="G10" s="450"/>
      <c r="H10" s="1306" t="s">
        <v>627</v>
      </c>
      <c r="I10" s="1307"/>
      <c r="O10"/>
      <c r="P10"/>
      <c r="Q10"/>
      <c r="R10"/>
      <c r="S10"/>
      <c r="T10"/>
      <c r="U10"/>
    </row>
    <row r="11" spans="2:21" ht="21" customHeight="1" thickBot="1">
      <c r="B11" s="248" t="str">
        <f>'49a-Utility2'!B11</f>
        <v>Outstanding - December 31, 2024</v>
      </c>
      <c r="C11" s="248"/>
      <c r="D11" s="248"/>
      <c r="E11" s="248"/>
      <c r="F11" s="248"/>
      <c r="G11" s="758">
        <f>+H7+H8-G10</f>
        <v>0</v>
      </c>
      <c r="H11" s="1300" t="s">
        <v>627</v>
      </c>
      <c r="I11" s="1301"/>
      <c r="O11"/>
      <c r="P11"/>
      <c r="Q11"/>
      <c r="R11"/>
      <c r="S11"/>
      <c r="T11"/>
      <c r="U11"/>
    </row>
    <row r="12" spans="2:21" ht="21" customHeight="1" thickBot="1">
      <c r="G12" s="755">
        <f>SUM(G7:G11)</f>
        <v>0</v>
      </c>
      <c r="H12" s="1304">
        <f>SUM(H7:I11)</f>
        <v>0</v>
      </c>
      <c r="I12" s="1305"/>
      <c r="O12"/>
      <c r="P12"/>
      <c r="Q12"/>
      <c r="R12"/>
      <c r="S12"/>
      <c r="T12"/>
      <c r="U12"/>
    </row>
    <row r="13" spans="2:21" ht="21" customHeight="1" thickTop="1">
      <c r="B13" s="333" t="str">
        <f>'49a-Utility3'!B13</f>
        <v>2025 Loan Maturities</v>
      </c>
      <c r="C13" s="333"/>
      <c r="D13" s="333"/>
      <c r="E13" s="333"/>
      <c r="F13" s="333"/>
      <c r="G13" s="333"/>
      <c r="H13" s="333"/>
      <c r="I13" s="381"/>
      <c r="J13" s="333" t="s">
        <v>373</v>
      </c>
      <c r="K13" s="1311"/>
      <c r="L13" s="1311"/>
      <c r="O13"/>
      <c r="P13"/>
      <c r="Q13"/>
      <c r="R13"/>
      <c r="S13"/>
      <c r="T13"/>
      <c r="U13"/>
    </row>
    <row r="14" spans="2:21" ht="21" customHeight="1" thickBot="1">
      <c r="B14" s="333" t="str">
        <f>'49a-Utility3'!B14</f>
        <v>2025 Interest on Loans</v>
      </c>
      <c r="C14" s="311"/>
      <c r="D14" s="311"/>
      <c r="E14" s="311"/>
      <c r="F14" s="311"/>
      <c r="G14" s="380"/>
      <c r="H14" s="311" t="s">
        <v>373</v>
      </c>
      <c r="I14" s="519"/>
      <c r="O14"/>
      <c r="P14"/>
      <c r="Q14"/>
      <c r="R14"/>
      <c r="S14"/>
      <c r="T14"/>
      <c r="U14"/>
    </row>
    <row r="15" spans="2:21" ht="16.5" customHeight="1" thickTop="1" thickBot="1">
      <c r="B15" s="1402"/>
      <c r="C15" s="1402"/>
      <c r="D15" s="1402"/>
      <c r="E15" s="1402"/>
      <c r="F15" s="1402"/>
      <c r="G15" s="1402"/>
      <c r="H15" s="1402"/>
      <c r="I15" s="1403"/>
      <c r="O15"/>
      <c r="P15"/>
      <c r="Q15"/>
      <c r="R15"/>
      <c r="S15"/>
      <c r="T15"/>
      <c r="U15"/>
    </row>
    <row r="16" spans="2:21" ht="16.2" thickBot="1">
      <c r="B16" s="1420" t="str">
        <f>UPPER('KEY INPUTS'!D$59)&amp;" UTILITY "&amp;IF(R16&lt;&gt;"",(UPPER(R16)),"")&amp;" LOAN"</f>
        <v xml:space="preserve"> UTILITY  LOAN</v>
      </c>
      <c r="C16" s="1420"/>
      <c r="D16" s="1420"/>
      <c r="E16" s="1420"/>
      <c r="F16" s="1420"/>
      <c r="G16" s="1420"/>
      <c r="H16" s="1420"/>
      <c r="I16" s="1421"/>
      <c r="O16"/>
      <c r="P16"/>
      <c r="Q16" s="1056" t="s">
        <v>3576</v>
      </c>
      <c r="R16" s="1057"/>
      <c r="S16"/>
      <c r="T16"/>
      <c r="U16"/>
    </row>
    <row r="17" spans="2:21" ht="21" customHeight="1" thickTop="1">
      <c r="B17" s="363" t="str">
        <f>'49a-Utility2'!B7</f>
        <v>Outstanding - January 1, 2024</v>
      </c>
      <c r="C17" s="313"/>
      <c r="D17" s="313"/>
      <c r="E17" s="313"/>
      <c r="F17" s="313"/>
      <c r="G17" s="757" t="s">
        <v>627</v>
      </c>
      <c r="H17" s="1293"/>
      <c r="I17" s="1294"/>
      <c r="O17"/>
      <c r="P17"/>
      <c r="Q17"/>
      <c r="R17"/>
      <c r="S17"/>
      <c r="T17"/>
      <c r="U17"/>
    </row>
    <row r="18" spans="2:21" ht="21" customHeight="1">
      <c r="B18" s="248" t="s">
        <v>92</v>
      </c>
      <c r="C18" s="248"/>
      <c r="D18" s="248"/>
      <c r="E18" s="248"/>
      <c r="F18" s="248"/>
      <c r="G18" s="702" t="s">
        <v>627</v>
      </c>
      <c r="H18" s="1291"/>
      <c r="I18" s="1292"/>
      <c r="O18"/>
      <c r="P18"/>
      <c r="Q18"/>
      <c r="R18"/>
      <c r="S18"/>
      <c r="T18"/>
      <c r="U18"/>
    </row>
    <row r="19" spans="2:21" ht="21" customHeight="1">
      <c r="B19" s="248" t="s">
        <v>254</v>
      </c>
      <c r="C19" s="248"/>
      <c r="D19" s="248"/>
      <c r="E19" s="248"/>
      <c r="F19" s="248"/>
      <c r="G19" s="450"/>
      <c r="H19" s="1306" t="s">
        <v>627</v>
      </c>
      <c r="I19" s="1307"/>
      <c r="O19"/>
      <c r="P19"/>
      <c r="Q19"/>
      <c r="R19"/>
      <c r="S19"/>
      <c r="T19"/>
      <c r="U19"/>
    </row>
    <row r="20" spans="2:21" ht="21" customHeight="1">
      <c r="B20" s="248"/>
      <c r="C20" s="248"/>
      <c r="D20" s="248"/>
      <c r="E20" s="248"/>
      <c r="F20" s="248"/>
      <c r="G20" s="767"/>
      <c r="H20" s="1308"/>
      <c r="I20" s="1309"/>
      <c r="O20"/>
      <c r="P20"/>
      <c r="Q20"/>
      <c r="R20"/>
      <c r="S20"/>
      <c r="T20"/>
      <c r="U20"/>
    </row>
    <row r="21" spans="2:21" ht="21" customHeight="1">
      <c r="B21" s="248"/>
      <c r="C21" s="248"/>
      <c r="D21" s="248"/>
      <c r="E21" s="248"/>
      <c r="F21" s="248"/>
      <c r="G21" s="767"/>
      <c r="H21" s="1308"/>
      <c r="I21" s="1309"/>
      <c r="O21"/>
      <c r="P21"/>
      <c r="Q21"/>
      <c r="R21"/>
      <c r="S21"/>
      <c r="T21"/>
      <c r="U21"/>
    </row>
    <row r="22" spans="2:21" ht="21" customHeight="1" thickBot="1">
      <c r="B22" s="248" t="str">
        <f>'49a-Utility2'!B11</f>
        <v>Outstanding - December 31, 2024</v>
      </c>
      <c r="C22" s="248"/>
      <c r="D22" s="248"/>
      <c r="E22" s="248"/>
      <c r="F22" s="248"/>
      <c r="G22" s="758">
        <f>+H17+H18-G19-G20-G21+H20+H21</f>
        <v>0</v>
      </c>
      <c r="H22" s="1300" t="s">
        <v>627</v>
      </c>
      <c r="I22" s="1301"/>
      <c r="O22"/>
      <c r="P22"/>
      <c r="Q22"/>
      <c r="R22"/>
      <c r="S22"/>
      <c r="T22"/>
      <c r="U22"/>
    </row>
    <row r="23" spans="2:21" ht="21" customHeight="1" thickBot="1">
      <c r="G23" s="755">
        <f>SUM(G17:G22)</f>
        <v>0</v>
      </c>
      <c r="H23" s="1304">
        <f>SUM(H17:I22)</f>
        <v>0</v>
      </c>
      <c r="I23" s="1305"/>
    </row>
    <row r="24" spans="2:21" ht="21" customHeight="1" thickTop="1">
      <c r="B24" s="333" t="str">
        <f>B13</f>
        <v>2025 Loan Maturities</v>
      </c>
      <c r="C24" s="333"/>
      <c r="D24" s="333"/>
      <c r="E24" s="333"/>
      <c r="F24" s="333"/>
      <c r="G24" s="333"/>
      <c r="H24" s="333"/>
      <c r="I24" s="381"/>
      <c r="J24" s="333" t="s">
        <v>373</v>
      </c>
      <c r="K24" s="1311"/>
      <c r="L24" s="1311"/>
    </row>
    <row r="25" spans="2:21" ht="21" customHeight="1" thickBot="1">
      <c r="B25" s="311" t="str">
        <f>B14</f>
        <v>2025 Interest on Loans</v>
      </c>
      <c r="C25" s="311"/>
      <c r="D25" s="311"/>
      <c r="E25" s="311"/>
      <c r="F25" s="311"/>
      <c r="G25" s="380"/>
      <c r="H25" s="311" t="s">
        <v>373</v>
      </c>
      <c r="I25" s="456"/>
      <c r="J25" s="375"/>
      <c r="K25" s="311"/>
      <c r="L25" s="311"/>
    </row>
    <row r="26" spans="2:21" ht="21" customHeight="1" thickTop="1"/>
    <row r="27" spans="2:21" ht="19.5" customHeight="1" thickBot="1">
      <c r="B27" s="1420" t="str">
        <f>"INTEREST  ON  LOANS  - "&amp;UPPER('KEY INPUTS'!D59)&amp;"  UTILITY  BUDGET"</f>
        <v>INTEREST  ON  LOANS  -   UTILITY  BUDGET</v>
      </c>
      <c r="C27" s="1420"/>
      <c r="D27" s="1420"/>
      <c r="E27" s="1420"/>
      <c r="F27" s="1420"/>
      <c r="G27" s="1420"/>
      <c r="H27" s="1420"/>
      <c r="I27" s="1420"/>
      <c r="J27" s="1420"/>
      <c r="K27" s="1420"/>
      <c r="L27" s="1420"/>
    </row>
    <row r="28" spans="2:21" ht="21" customHeight="1" thickTop="1">
      <c r="B28" s="313" t="str">
        <f>'49a-Utility1'!B28</f>
        <v>2025 Interest on Loans (*Items)</v>
      </c>
      <c r="C28" s="313"/>
      <c r="D28" s="313"/>
      <c r="E28" s="313"/>
      <c r="F28" s="313"/>
      <c r="G28" s="313"/>
      <c r="H28" s="313" t="s">
        <v>373</v>
      </c>
      <c r="I28" s="384">
        <f>+I25+I14</f>
        <v>0</v>
      </c>
    </row>
    <row r="29" spans="2:21" ht="21" customHeight="1">
      <c r="B29" s="248" t="str">
        <f>'49a-Utility1'!B29</f>
        <v>Less: Interest Accrued to 12/31/2024 (Trial Balance)</v>
      </c>
      <c r="C29" s="248"/>
      <c r="D29" s="248"/>
      <c r="E29" s="248"/>
      <c r="F29" s="248"/>
      <c r="G29" s="248"/>
      <c r="H29" s="248" t="s">
        <v>373</v>
      </c>
      <c r="I29" s="449"/>
    </row>
    <row r="30" spans="2:21" ht="21" customHeight="1">
      <c r="B30" s="248"/>
      <c r="C30" s="248" t="s">
        <v>317</v>
      </c>
      <c r="D30" s="248"/>
      <c r="E30" s="248"/>
      <c r="F30" s="248"/>
      <c r="G30" s="248"/>
      <c r="H30" s="248" t="s">
        <v>373</v>
      </c>
      <c r="I30" s="379">
        <f>+I28-I29</f>
        <v>0</v>
      </c>
    </row>
    <row r="31" spans="2:21" ht="21" customHeight="1">
      <c r="B31" s="248" t="str">
        <f>'49a-Utility1'!B31</f>
        <v>Add: Interest to be Accrued as of 12/31/2025</v>
      </c>
      <c r="C31" s="248"/>
      <c r="D31" s="248"/>
      <c r="E31" s="248"/>
      <c r="F31" s="248"/>
      <c r="G31" s="248"/>
      <c r="H31" s="248" t="s">
        <v>373</v>
      </c>
      <c r="I31" s="449"/>
    </row>
    <row r="32" spans="2:21" ht="21" customHeight="1">
      <c r="B32" s="248" t="str">
        <f>'49a-Utility1'!B32</f>
        <v>Required Appropriation 2025</v>
      </c>
      <c r="C32" s="248"/>
      <c r="D32" s="248"/>
      <c r="E32" s="248"/>
      <c r="F32" s="248"/>
      <c r="G32" s="248"/>
      <c r="H32" s="248"/>
      <c r="I32" s="312"/>
      <c r="J32" s="376" t="s">
        <v>373</v>
      </c>
      <c r="K32" s="1414">
        <f>+I30+I31</f>
        <v>0</v>
      </c>
      <c r="L32" s="1415"/>
    </row>
    <row r="33" spans="2:12" ht="13.5" customHeight="1">
      <c r="K33" s="378"/>
      <c r="L33" s="302"/>
    </row>
    <row r="34" spans="2:12" ht="13.5" customHeight="1">
      <c r="K34" s="378"/>
      <c r="L34" s="302"/>
    </row>
    <row r="35" spans="2:12" ht="21" customHeight="1" thickBot="1">
      <c r="B35" s="1404" t="str">
        <f>'49-Utility1'!B35</f>
        <v>LIST  OF  BONDS  ISSUED  DURING  2024</v>
      </c>
      <c r="C35" s="1404"/>
      <c r="D35" s="1404"/>
      <c r="E35" s="1404"/>
      <c r="F35" s="1404"/>
      <c r="G35" s="1404"/>
      <c r="H35" s="1404"/>
      <c r="I35" s="1404"/>
      <c r="J35" s="1404"/>
      <c r="K35" s="1404"/>
      <c r="L35" s="1404"/>
    </row>
    <row r="36" spans="2:12" ht="27" customHeight="1" thickTop="1" thickBot="1">
      <c r="B36" s="1350" t="s">
        <v>413</v>
      </c>
      <c r="C36" s="1350"/>
      <c r="D36" s="1350"/>
      <c r="E36" s="1350"/>
      <c r="F36" s="1350"/>
      <c r="G36" s="304" t="str">
        <f>'49a-Utility2'!G36</f>
        <v>2025 Maturity</v>
      </c>
      <c r="H36" s="1401" t="s">
        <v>91</v>
      </c>
      <c r="I36" s="1351"/>
      <c r="J36" s="1399" t="s">
        <v>89</v>
      </c>
      <c r="K36" s="1400"/>
      <c r="L36" s="377" t="s">
        <v>90</v>
      </c>
    </row>
    <row r="37" spans="2:12" ht="21" customHeight="1" thickTop="1">
      <c r="B37" s="518"/>
      <c r="C37" s="518"/>
      <c r="D37" s="518"/>
      <c r="E37" s="518"/>
      <c r="F37" s="518"/>
      <c r="G37" s="454"/>
      <c r="H37" s="1293"/>
      <c r="I37" s="1294"/>
      <c r="J37" s="1422"/>
      <c r="K37" s="1417"/>
      <c r="L37" s="669"/>
    </row>
    <row r="38" spans="2:12" ht="21" customHeight="1">
      <c r="B38" s="495"/>
      <c r="C38" s="495"/>
      <c r="D38" s="495"/>
      <c r="E38" s="495"/>
      <c r="F38" s="495"/>
      <c r="G38" s="450"/>
      <c r="H38" s="1291"/>
      <c r="I38" s="1292"/>
      <c r="J38" s="1397"/>
      <c r="K38" s="1398"/>
      <c r="L38" s="670"/>
    </row>
    <row r="39" spans="2:12" ht="21" customHeight="1">
      <c r="B39" s="495"/>
      <c r="C39" s="495"/>
      <c r="D39" s="495"/>
      <c r="E39" s="495"/>
      <c r="F39" s="495"/>
      <c r="G39" s="450"/>
      <c r="H39" s="1291"/>
      <c r="I39" s="1292"/>
      <c r="J39" s="1397"/>
      <c r="K39" s="1398"/>
      <c r="L39" s="670"/>
    </row>
    <row r="40" spans="2:12" ht="21" customHeight="1">
      <c r="B40" s="495"/>
      <c r="C40" s="495"/>
      <c r="D40" s="495"/>
      <c r="E40" s="495"/>
      <c r="F40" s="495"/>
      <c r="G40" s="450"/>
      <c r="H40" s="1291"/>
      <c r="I40" s="1292"/>
      <c r="J40" s="1397"/>
      <c r="K40" s="1398"/>
      <c r="L40" s="670"/>
    </row>
    <row r="41" spans="2:12" ht="21" customHeight="1" thickBot="1">
      <c r="B41" s="311"/>
      <c r="C41" s="311"/>
      <c r="D41" s="311"/>
      <c r="E41" s="311"/>
      <c r="F41" s="310"/>
      <c r="G41" s="755">
        <f>SUM(G37:G40)</f>
        <v>0</v>
      </c>
      <c r="H41" s="1289">
        <f>SUM(H37:I40)</f>
        <v>0</v>
      </c>
      <c r="I41" s="1290"/>
      <c r="J41" s="375"/>
      <c r="K41" s="311"/>
      <c r="L41" s="315"/>
    </row>
    <row r="42" spans="2:12" ht="13.8" thickTop="1">
      <c r="G42" s="347"/>
      <c r="H42" s="347"/>
      <c r="I42" s="347"/>
    </row>
    <row r="51" spans="2:12" ht="13.8">
      <c r="B51" s="1353" t="s">
        <v>3166</v>
      </c>
      <c r="C51" s="1353"/>
      <c r="D51" s="1353"/>
      <c r="E51" s="1353"/>
      <c r="F51" s="1353"/>
      <c r="G51" s="1353"/>
      <c r="H51" s="1353"/>
      <c r="I51" s="1353"/>
      <c r="J51" s="1353"/>
      <c r="K51" s="1353"/>
      <c r="L51" s="1353"/>
    </row>
  </sheetData>
  <sheetProtection algorithmName="SHA-512" hashValue="MXPYC8ND8GXlVzzwJXTQo3AII4PmwuY2C0Q/mkXyGruXuaVuseUl5UtZxbjVmCZk3GG5QiXfiymVnAGRwdYdDQ==" saltValue="5xRtpf5yJrT4nqmU5SNvPA=="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1:L51"/>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D758-51BA-45FB-8EE1-191A13A0E126}">
  <sheetPr codeName="Sheet282">
    <tabColor theme="3" tint="0.79998168889431442"/>
  </sheetPr>
  <dimension ref="B2:U51"/>
  <sheetViews>
    <sheetView zoomScaleNormal="100" zoomScaleSheetLayoutView="80" workbookViewId="0">
      <selection activeCell="Q21" sqref="Q21"/>
    </sheetView>
  </sheetViews>
  <sheetFormatPr defaultColWidth="9.109375" defaultRowHeight="13.2"/>
  <cols>
    <col min="1" max="3" width="4.6640625" style="267" customWidth="1"/>
    <col min="4" max="4" width="4.5546875" style="267" customWidth="1"/>
    <col min="5" max="5" width="17.88671875" style="267" customWidth="1"/>
    <col min="6" max="6" width="9.109375" style="267"/>
    <col min="7" max="7" width="16.6640625" style="267" customWidth="1"/>
    <col min="8" max="8" width="1.6640625" style="267" customWidth="1"/>
    <col min="9" max="9" width="15.6640625" style="267" customWidth="1"/>
    <col min="10" max="10" width="1.6640625" style="267" customWidth="1"/>
    <col min="11" max="11" width="8.6640625" style="267" customWidth="1"/>
    <col min="12" max="12" width="7.6640625" style="267" customWidth="1"/>
    <col min="13" max="16" width="9.109375" style="267"/>
    <col min="17" max="17" width="11.109375" style="267" bestFit="1" customWidth="1"/>
    <col min="18" max="18" width="14.44140625" style="267" customWidth="1"/>
    <col min="19" max="16384" width="9.109375" style="267"/>
  </cols>
  <sheetData>
    <row r="2" spans="2:21" ht="20.399999999999999">
      <c r="B2" s="1363" t="s">
        <v>480</v>
      </c>
      <c r="C2" s="1363"/>
      <c r="D2" s="1363"/>
      <c r="E2" s="1363"/>
      <c r="F2" s="1363"/>
      <c r="G2" s="1363"/>
      <c r="H2" s="1363"/>
      <c r="I2" s="1363"/>
      <c r="J2" s="1363"/>
      <c r="K2" s="1363"/>
      <c r="L2" s="1363"/>
    </row>
    <row r="3" spans="2:21" ht="21" thickBot="1">
      <c r="B3" s="1363" t="str">
        <f>" AND  "&amp;IF('KEY INPUTS'!C42="State Fiscal Year","FISCAL  YEAR  "&amp;'KEY INPUTS'!D33+1&amp;"",'KEY INPUTS'!D34+1)&amp;"  DEBT  SERVICE  FOR  LOANS"</f>
        <v xml:space="preserve"> AND  2025  DEBT  SERVICE  FOR  LOANS</v>
      </c>
      <c r="C3" s="1363"/>
      <c r="D3" s="1363"/>
      <c r="E3" s="1363"/>
      <c r="F3" s="1363"/>
      <c r="G3" s="1363"/>
      <c r="H3" s="1363"/>
      <c r="I3" s="1363"/>
      <c r="J3" s="1363"/>
      <c r="K3" s="1363"/>
      <c r="L3" s="1363"/>
    </row>
    <row r="4" spans="2:21" ht="16.2" thickBot="1">
      <c r="B4" s="1360" t="str">
        <f>UPPER('KEY INPUTS'!D$59)&amp;" UTILITY "&amp;IF(R4&lt;&gt;"",(UPPER(R4)),"")&amp;" LOAN"</f>
        <v xml:space="preserve"> UTILITY  LOAN</v>
      </c>
      <c r="C4" s="1360"/>
      <c r="D4" s="1360"/>
      <c r="E4" s="1360"/>
      <c r="F4" s="1360"/>
      <c r="G4" s="1360"/>
      <c r="H4" s="1360"/>
      <c r="I4" s="1360"/>
      <c r="J4" s="1360"/>
      <c r="K4" s="1360"/>
      <c r="L4" s="1360"/>
      <c r="Q4" s="1056" t="s">
        <v>3576</v>
      </c>
      <c r="R4" s="1057"/>
    </row>
    <row r="5" spans="2:21" ht="9.75" customHeight="1" thickBot="1">
      <c r="B5" s="383"/>
      <c r="C5" s="383"/>
      <c r="D5" s="383"/>
      <c r="E5" s="383"/>
      <c r="F5" s="383"/>
      <c r="G5" s="383"/>
      <c r="H5" s="383"/>
      <c r="I5" s="383"/>
      <c r="J5" s="383"/>
      <c r="K5" s="383"/>
      <c r="L5" s="383"/>
    </row>
    <row r="6" spans="2:21" ht="27.75" customHeight="1" thickTop="1" thickBot="1">
      <c r="B6" s="364"/>
      <c r="C6" s="364"/>
      <c r="D6" s="364"/>
      <c r="E6" s="364"/>
      <c r="F6" s="364"/>
      <c r="G6" s="304" t="s">
        <v>96</v>
      </c>
      <c r="H6" s="1401" t="s">
        <v>97</v>
      </c>
      <c r="I6" s="1351"/>
      <c r="J6" s="1407" t="str">
        <f>IF('KEY INPUTS'!C42="State Fiscal Year","Fiscal Year "&amp;'KEY INPUTS'!D33+1&amp;"",'KEY INPUTS'!D34+1)&amp;"  Debt Service"</f>
        <v>2025  Debt Service</v>
      </c>
      <c r="K6" s="1407"/>
      <c r="L6" s="1407"/>
      <c r="O6"/>
      <c r="P6"/>
      <c r="Q6"/>
      <c r="R6"/>
      <c r="S6"/>
      <c r="T6"/>
      <c r="U6"/>
    </row>
    <row r="7" spans="2:21" ht="21" customHeight="1" thickTop="1">
      <c r="B7" s="363" t="str">
        <f>'49a-Utility2'!B7</f>
        <v>Outstanding - January 1, 2024</v>
      </c>
      <c r="C7" s="313"/>
      <c r="D7" s="313"/>
      <c r="E7" s="313"/>
      <c r="F7" s="313"/>
      <c r="G7" s="757" t="s">
        <v>627</v>
      </c>
      <c r="H7" s="1293"/>
      <c r="I7" s="1294"/>
      <c r="O7"/>
      <c r="P7"/>
      <c r="Q7"/>
      <c r="R7"/>
      <c r="S7"/>
      <c r="T7"/>
      <c r="U7"/>
    </row>
    <row r="8" spans="2:21" ht="21" customHeight="1">
      <c r="B8" s="248" t="s">
        <v>92</v>
      </c>
      <c r="C8" s="248"/>
      <c r="D8" s="248"/>
      <c r="E8" s="248"/>
      <c r="F8" s="248"/>
      <c r="G8" s="702" t="s">
        <v>627</v>
      </c>
      <c r="H8" s="1291"/>
      <c r="I8" s="1292"/>
      <c r="O8" s="294"/>
      <c r="P8"/>
      <c r="Q8"/>
      <c r="R8"/>
      <c r="S8"/>
      <c r="T8"/>
      <c r="U8"/>
    </row>
    <row r="9" spans="2:21" ht="21" customHeight="1">
      <c r="B9" s="248"/>
      <c r="C9" s="248"/>
      <c r="D9" s="248"/>
      <c r="E9" s="248"/>
      <c r="F9" s="248"/>
      <c r="G9" s="702"/>
      <c r="H9" s="914"/>
      <c r="I9" s="915"/>
      <c r="O9"/>
      <c r="P9"/>
      <c r="Q9"/>
      <c r="R9"/>
      <c r="S9"/>
      <c r="T9"/>
      <c r="U9"/>
    </row>
    <row r="10" spans="2:21" ht="21" customHeight="1">
      <c r="B10" s="248" t="s">
        <v>254</v>
      </c>
      <c r="C10" s="248"/>
      <c r="D10" s="248"/>
      <c r="E10" s="248"/>
      <c r="F10" s="248"/>
      <c r="G10" s="450"/>
      <c r="H10" s="1306" t="s">
        <v>627</v>
      </c>
      <c r="I10" s="1307"/>
      <c r="O10"/>
      <c r="P10"/>
      <c r="Q10"/>
      <c r="R10"/>
      <c r="S10"/>
      <c r="T10"/>
      <c r="U10"/>
    </row>
    <row r="11" spans="2:21" ht="21" customHeight="1" thickBot="1">
      <c r="B11" s="248" t="str">
        <f>'49a-Utility2'!B11</f>
        <v>Outstanding - December 31, 2024</v>
      </c>
      <c r="C11" s="248"/>
      <c r="D11" s="248"/>
      <c r="E11" s="248"/>
      <c r="F11" s="248"/>
      <c r="G11" s="758">
        <f>+H7+H8-G10</f>
        <v>0</v>
      </c>
      <c r="H11" s="1300" t="s">
        <v>627</v>
      </c>
      <c r="I11" s="1301"/>
      <c r="O11"/>
      <c r="P11"/>
      <c r="Q11"/>
      <c r="R11"/>
      <c r="S11"/>
      <c r="T11"/>
      <c r="U11"/>
    </row>
    <row r="12" spans="2:21" ht="21" customHeight="1" thickBot="1">
      <c r="G12" s="755">
        <f>SUM(G7:G11)</f>
        <v>0</v>
      </c>
      <c r="H12" s="1304">
        <f>SUM(H7:I11)</f>
        <v>0</v>
      </c>
      <c r="I12" s="1305"/>
      <c r="O12"/>
      <c r="P12"/>
      <c r="Q12"/>
      <c r="R12"/>
      <c r="S12"/>
      <c r="T12"/>
      <c r="U12"/>
    </row>
    <row r="13" spans="2:21" ht="21" customHeight="1" thickTop="1">
      <c r="B13" s="333" t="str">
        <f>'49a-Utility3'!B13</f>
        <v>2025 Loan Maturities</v>
      </c>
      <c r="C13" s="333"/>
      <c r="D13" s="333"/>
      <c r="E13" s="333"/>
      <c r="F13" s="333"/>
      <c r="G13" s="333"/>
      <c r="H13" s="333"/>
      <c r="I13" s="381"/>
      <c r="J13" s="333" t="s">
        <v>373</v>
      </c>
      <c r="K13" s="1311"/>
      <c r="L13" s="1311"/>
      <c r="O13"/>
      <c r="P13"/>
      <c r="Q13"/>
      <c r="R13"/>
      <c r="S13"/>
      <c r="T13"/>
      <c r="U13"/>
    </row>
    <row r="14" spans="2:21" ht="21" customHeight="1" thickBot="1">
      <c r="B14" s="333" t="str">
        <f>'49a-Utility3'!B14</f>
        <v>2025 Interest on Loans</v>
      </c>
      <c r="C14" s="311"/>
      <c r="D14" s="311"/>
      <c r="E14" s="311"/>
      <c r="F14" s="311"/>
      <c r="G14" s="380"/>
      <c r="H14" s="311" t="s">
        <v>373</v>
      </c>
      <c r="I14" s="519"/>
      <c r="O14"/>
      <c r="P14"/>
      <c r="Q14"/>
      <c r="R14"/>
      <c r="S14"/>
      <c r="T14"/>
      <c r="U14"/>
    </row>
    <row r="15" spans="2:21" ht="16.5" customHeight="1" thickTop="1" thickBot="1">
      <c r="B15" s="1402"/>
      <c r="C15" s="1402"/>
      <c r="D15" s="1402"/>
      <c r="E15" s="1402"/>
      <c r="F15" s="1402"/>
      <c r="G15" s="1402"/>
      <c r="H15" s="1402"/>
      <c r="I15" s="1403"/>
      <c r="O15"/>
      <c r="P15"/>
      <c r="Q15"/>
      <c r="R15"/>
      <c r="S15"/>
      <c r="T15"/>
      <c r="U15"/>
    </row>
    <row r="16" spans="2:21" ht="16.2" thickBot="1">
      <c r="B16" s="1420" t="str">
        <f>UPPER('KEY INPUTS'!D$59)&amp;" UTILITY "&amp;IF(R16&lt;&gt;"",(UPPER(R16)),"")&amp;" LOAN"</f>
        <v xml:space="preserve"> UTILITY  LOAN</v>
      </c>
      <c r="C16" s="1420"/>
      <c r="D16" s="1420"/>
      <c r="E16" s="1420"/>
      <c r="F16" s="1420"/>
      <c r="G16" s="1420"/>
      <c r="H16" s="1420"/>
      <c r="I16" s="1421"/>
      <c r="O16"/>
      <c r="P16"/>
      <c r="Q16" s="1056" t="s">
        <v>3576</v>
      </c>
      <c r="R16" s="1057"/>
      <c r="S16"/>
      <c r="T16"/>
      <c r="U16"/>
    </row>
    <row r="17" spans="2:21" ht="21" customHeight="1" thickTop="1">
      <c r="B17" s="363" t="str">
        <f>'49a-Utility2'!B7</f>
        <v>Outstanding - January 1, 2024</v>
      </c>
      <c r="C17" s="313"/>
      <c r="D17" s="313"/>
      <c r="E17" s="313"/>
      <c r="F17" s="313"/>
      <c r="G17" s="757" t="s">
        <v>627</v>
      </c>
      <c r="H17" s="1293"/>
      <c r="I17" s="1294"/>
      <c r="O17"/>
      <c r="P17"/>
      <c r="Q17"/>
      <c r="R17"/>
      <c r="S17"/>
      <c r="T17"/>
      <c r="U17"/>
    </row>
    <row r="18" spans="2:21" ht="21" customHeight="1">
      <c r="B18" s="248" t="s">
        <v>92</v>
      </c>
      <c r="C18" s="248"/>
      <c r="D18" s="248"/>
      <c r="E18" s="248"/>
      <c r="F18" s="248"/>
      <c r="G18" s="702" t="s">
        <v>627</v>
      </c>
      <c r="H18" s="1291"/>
      <c r="I18" s="1292"/>
      <c r="O18"/>
      <c r="P18"/>
      <c r="Q18"/>
      <c r="R18"/>
      <c r="S18"/>
      <c r="T18"/>
      <c r="U18"/>
    </row>
    <row r="19" spans="2:21" ht="21" customHeight="1">
      <c r="B19" s="248" t="s">
        <v>254</v>
      </c>
      <c r="C19" s="248"/>
      <c r="D19" s="248"/>
      <c r="E19" s="248"/>
      <c r="F19" s="248"/>
      <c r="G19" s="450"/>
      <c r="H19" s="1306" t="s">
        <v>627</v>
      </c>
      <c r="I19" s="1307"/>
      <c r="O19"/>
      <c r="P19"/>
      <c r="Q19"/>
      <c r="R19"/>
      <c r="S19"/>
      <c r="T19"/>
      <c r="U19"/>
    </row>
    <row r="20" spans="2:21" ht="21" customHeight="1">
      <c r="B20" s="248"/>
      <c r="C20" s="248"/>
      <c r="D20" s="248"/>
      <c r="E20" s="248"/>
      <c r="F20" s="248"/>
      <c r="G20" s="767"/>
      <c r="H20" s="1308"/>
      <c r="I20" s="1309"/>
      <c r="O20"/>
      <c r="P20"/>
      <c r="Q20"/>
      <c r="R20"/>
      <c r="S20"/>
      <c r="T20"/>
      <c r="U20"/>
    </row>
    <row r="21" spans="2:21" ht="21" customHeight="1">
      <c r="B21" s="248"/>
      <c r="C21" s="248"/>
      <c r="D21" s="248"/>
      <c r="E21" s="248"/>
      <c r="F21" s="248"/>
      <c r="G21" s="767"/>
      <c r="H21" s="1308"/>
      <c r="I21" s="1309"/>
      <c r="O21"/>
      <c r="P21"/>
      <c r="Q21"/>
      <c r="R21"/>
      <c r="S21"/>
      <c r="T21"/>
      <c r="U21"/>
    </row>
    <row r="22" spans="2:21" ht="21" customHeight="1" thickBot="1">
      <c r="B22" s="248" t="str">
        <f>'49a-Utility2'!B11</f>
        <v>Outstanding - December 31, 2024</v>
      </c>
      <c r="C22" s="248"/>
      <c r="D22" s="248"/>
      <c r="E22" s="248"/>
      <c r="F22" s="248"/>
      <c r="G22" s="758">
        <f>+H17+H18-G19-G20-G21+H20+H21</f>
        <v>0</v>
      </c>
      <c r="H22" s="1300" t="s">
        <v>627</v>
      </c>
      <c r="I22" s="1301"/>
      <c r="O22"/>
      <c r="P22"/>
      <c r="Q22"/>
      <c r="R22"/>
      <c r="S22"/>
      <c r="T22"/>
      <c r="U22"/>
    </row>
    <row r="23" spans="2:21" ht="21" customHeight="1" thickBot="1">
      <c r="G23" s="755">
        <f>SUM(G17:G22)</f>
        <v>0</v>
      </c>
      <c r="H23" s="1304">
        <f>SUM(H17:I22)</f>
        <v>0</v>
      </c>
      <c r="I23" s="1305"/>
    </row>
    <row r="24" spans="2:21" ht="21" customHeight="1" thickTop="1">
      <c r="B24" s="333" t="str">
        <f>B13</f>
        <v>2025 Loan Maturities</v>
      </c>
      <c r="C24" s="333"/>
      <c r="D24" s="333"/>
      <c r="E24" s="333"/>
      <c r="F24" s="333"/>
      <c r="G24" s="333"/>
      <c r="H24" s="333"/>
      <c r="I24" s="381"/>
      <c r="J24" s="333" t="s">
        <v>373</v>
      </c>
      <c r="K24" s="1311"/>
      <c r="L24" s="1311"/>
    </row>
    <row r="25" spans="2:21" ht="21" customHeight="1" thickBot="1">
      <c r="B25" s="311" t="str">
        <f>B14</f>
        <v>2025 Interest on Loans</v>
      </c>
      <c r="C25" s="311"/>
      <c r="D25" s="311"/>
      <c r="E25" s="311"/>
      <c r="F25" s="311"/>
      <c r="G25" s="380"/>
      <c r="H25" s="311" t="s">
        <v>373</v>
      </c>
      <c r="I25" s="456"/>
      <c r="J25" s="375"/>
      <c r="K25" s="311"/>
      <c r="L25" s="311"/>
    </row>
    <row r="26" spans="2:21" ht="21" customHeight="1" thickTop="1"/>
    <row r="27" spans="2:21" ht="19.5" customHeight="1" thickBot="1">
      <c r="B27" s="1420" t="str">
        <f>"INTEREST  ON  LOANS  - "&amp;UPPER('KEY INPUTS'!D59)&amp;"  UTILITY  BUDGET"</f>
        <v>INTEREST  ON  LOANS  -   UTILITY  BUDGET</v>
      </c>
      <c r="C27" s="1420"/>
      <c r="D27" s="1420"/>
      <c r="E27" s="1420"/>
      <c r="F27" s="1420"/>
      <c r="G27" s="1420"/>
      <c r="H27" s="1420"/>
      <c r="I27" s="1420"/>
      <c r="J27" s="1420"/>
      <c r="K27" s="1420"/>
      <c r="L27" s="1420"/>
    </row>
    <row r="28" spans="2:21" ht="21" customHeight="1" thickTop="1">
      <c r="B28" s="313" t="str">
        <f>'49a-Utility1'!B28</f>
        <v>2025 Interest on Loans (*Items)</v>
      </c>
      <c r="C28" s="313"/>
      <c r="D28" s="313"/>
      <c r="E28" s="313"/>
      <c r="F28" s="313"/>
      <c r="G28" s="313"/>
      <c r="H28" s="313" t="s">
        <v>373</v>
      </c>
      <c r="I28" s="384">
        <f>+I25+I14</f>
        <v>0</v>
      </c>
    </row>
    <row r="29" spans="2:21" ht="21" customHeight="1">
      <c r="B29" s="248" t="str">
        <f>'49a-Utility1'!B29</f>
        <v>Less: Interest Accrued to 12/31/2024 (Trial Balance)</v>
      </c>
      <c r="C29" s="248"/>
      <c r="D29" s="248"/>
      <c r="E29" s="248"/>
      <c r="F29" s="248"/>
      <c r="G29" s="248"/>
      <c r="H29" s="248" t="s">
        <v>373</v>
      </c>
      <c r="I29" s="449"/>
    </row>
    <row r="30" spans="2:21" ht="21" customHeight="1">
      <c r="B30" s="248"/>
      <c r="C30" s="248" t="s">
        <v>317</v>
      </c>
      <c r="D30" s="248"/>
      <c r="E30" s="248"/>
      <c r="F30" s="248"/>
      <c r="G30" s="248"/>
      <c r="H30" s="248" t="s">
        <v>373</v>
      </c>
      <c r="I30" s="379">
        <f>+I28-I29</f>
        <v>0</v>
      </c>
    </row>
    <row r="31" spans="2:21" ht="21" customHeight="1">
      <c r="B31" s="248" t="str">
        <f>'49a-Utility1'!B31</f>
        <v>Add: Interest to be Accrued as of 12/31/2025</v>
      </c>
      <c r="C31" s="248"/>
      <c r="D31" s="248"/>
      <c r="E31" s="248"/>
      <c r="F31" s="248"/>
      <c r="G31" s="248"/>
      <c r="H31" s="248" t="s">
        <v>373</v>
      </c>
      <c r="I31" s="449"/>
    </row>
    <row r="32" spans="2:21" ht="21" customHeight="1">
      <c r="B32" s="248" t="str">
        <f>'49a-Utility1'!B32</f>
        <v>Required Appropriation 2025</v>
      </c>
      <c r="C32" s="248"/>
      <c r="D32" s="248"/>
      <c r="E32" s="248"/>
      <c r="F32" s="248"/>
      <c r="G32" s="248"/>
      <c r="H32" s="248"/>
      <c r="I32" s="312"/>
      <c r="J32" s="376" t="s">
        <v>373</v>
      </c>
      <c r="K32" s="1414">
        <f>+I30+I31</f>
        <v>0</v>
      </c>
      <c r="L32" s="1415"/>
    </row>
    <row r="33" spans="2:12" ht="13.5" customHeight="1">
      <c r="K33" s="378"/>
      <c r="L33" s="302"/>
    </row>
    <row r="34" spans="2:12" ht="13.5" customHeight="1">
      <c r="K34" s="378"/>
      <c r="L34" s="302"/>
    </row>
    <row r="35" spans="2:12" ht="21" customHeight="1" thickBot="1">
      <c r="B35" s="1404" t="str">
        <f>'49-Utility1'!B35</f>
        <v>LIST  OF  BONDS  ISSUED  DURING  2024</v>
      </c>
      <c r="C35" s="1404"/>
      <c r="D35" s="1404"/>
      <c r="E35" s="1404"/>
      <c r="F35" s="1404"/>
      <c r="G35" s="1404"/>
      <c r="H35" s="1404"/>
      <c r="I35" s="1404"/>
      <c r="J35" s="1404"/>
      <c r="K35" s="1404"/>
      <c r="L35" s="1404"/>
    </row>
    <row r="36" spans="2:12" ht="27" customHeight="1" thickTop="1" thickBot="1">
      <c r="B36" s="1350" t="s">
        <v>413</v>
      </c>
      <c r="C36" s="1350"/>
      <c r="D36" s="1350"/>
      <c r="E36" s="1350"/>
      <c r="F36" s="1350"/>
      <c r="G36" s="304" t="str">
        <f>'49a-Utility2'!G36</f>
        <v>2025 Maturity</v>
      </c>
      <c r="H36" s="1401" t="s">
        <v>91</v>
      </c>
      <c r="I36" s="1351"/>
      <c r="J36" s="1399" t="s">
        <v>89</v>
      </c>
      <c r="K36" s="1400"/>
      <c r="L36" s="377" t="s">
        <v>90</v>
      </c>
    </row>
    <row r="37" spans="2:12" ht="21" customHeight="1" thickTop="1">
      <c r="B37" s="518"/>
      <c r="C37" s="518"/>
      <c r="D37" s="518"/>
      <c r="E37" s="518"/>
      <c r="F37" s="518"/>
      <c r="G37" s="454"/>
      <c r="H37" s="1293"/>
      <c r="I37" s="1294"/>
      <c r="J37" s="1422"/>
      <c r="K37" s="1417"/>
      <c r="L37" s="669"/>
    </row>
    <row r="38" spans="2:12" ht="21" customHeight="1">
      <c r="B38" s="495"/>
      <c r="C38" s="495"/>
      <c r="D38" s="495"/>
      <c r="E38" s="495"/>
      <c r="F38" s="495"/>
      <c r="G38" s="450"/>
      <c r="H38" s="1291"/>
      <c r="I38" s="1292"/>
      <c r="J38" s="1397"/>
      <c r="K38" s="1398"/>
      <c r="L38" s="670"/>
    </row>
    <row r="39" spans="2:12" ht="21" customHeight="1">
      <c r="B39" s="495"/>
      <c r="C39" s="495"/>
      <c r="D39" s="495"/>
      <c r="E39" s="495"/>
      <c r="F39" s="495"/>
      <c r="G39" s="450"/>
      <c r="H39" s="1291"/>
      <c r="I39" s="1292"/>
      <c r="J39" s="1397"/>
      <c r="K39" s="1398"/>
      <c r="L39" s="670"/>
    </row>
    <row r="40" spans="2:12" ht="21" customHeight="1">
      <c r="B40" s="495"/>
      <c r="C40" s="495"/>
      <c r="D40" s="495"/>
      <c r="E40" s="495"/>
      <c r="F40" s="495"/>
      <c r="G40" s="450"/>
      <c r="H40" s="1291"/>
      <c r="I40" s="1292"/>
      <c r="J40" s="1397"/>
      <c r="K40" s="1398"/>
      <c r="L40" s="670"/>
    </row>
    <row r="41" spans="2:12" ht="21" customHeight="1" thickBot="1">
      <c r="B41" s="311"/>
      <c r="C41" s="311"/>
      <c r="D41" s="311"/>
      <c r="E41" s="311"/>
      <c r="F41" s="310"/>
      <c r="G41" s="755">
        <f>SUM(G37:G40)</f>
        <v>0</v>
      </c>
      <c r="H41" s="1289">
        <f>SUM(H37:I40)</f>
        <v>0</v>
      </c>
      <c r="I41" s="1290"/>
      <c r="J41" s="375"/>
      <c r="K41" s="311"/>
      <c r="L41" s="315"/>
    </row>
    <row r="42" spans="2:12" ht="13.8" thickTop="1">
      <c r="G42" s="347"/>
      <c r="H42" s="347"/>
      <c r="I42" s="347"/>
    </row>
    <row r="51" spans="2:12" ht="13.8">
      <c r="B51" s="1353" t="s">
        <v>3355</v>
      </c>
      <c r="C51" s="1353"/>
      <c r="D51" s="1353"/>
      <c r="E51" s="1353"/>
      <c r="F51" s="1353"/>
      <c r="G51" s="1353"/>
      <c r="H51" s="1353"/>
      <c r="I51" s="1353"/>
      <c r="J51" s="1353"/>
      <c r="K51" s="1353"/>
      <c r="L51" s="1353"/>
    </row>
  </sheetData>
  <sheetProtection algorithmName="SHA-512" hashValue="25ana30QAqE4rngbszUa8sthKbla/9BljW5JkeH7Dr/cUBmkA1KPdXPYGAW2A7i00wTXut/5St6hu5GSfX8rNA==" saltValue="Ii4knMiFu6FCPU+xVh5ECA=="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1:L51"/>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F2F34-D47B-4D49-A165-D8E2FA8FEE6B}">
  <sheetPr codeName="Sheet299">
    <tabColor theme="3" tint="0.79998168889431442"/>
  </sheetPr>
  <dimension ref="A2:V30"/>
  <sheetViews>
    <sheetView zoomScaleNormal="100" zoomScaleSheetLayoutView="80" workbookViewId="0">
      <selection activeCell="J28" sqref="J28"/>
    </sheetView>
  </sheetViews>
  <sheetFormatPr defaultColWidth="8.88671875" defaultRowHeight="13.2"/>
  <cols>
    <col min="1" max="1" width="5.6640625" style="267" customWidth="1"/>
    <col min="2" max="3" width="4.88671875" style="267" customWidth="1"/>
    <col min="4" max="4" width="30.44140625" style="267" customWidth="1"/>
    <col min="5" max="11" width="15.6640625" style="267" customWidth="1"/>
    <col min="12" max="12" width="1.6640625" style="267" customWidth="1"/>
    <col min="13" max="13" width="12.6640625" style="267" customWidth="1"/>
    <col min="14" max="16384" width="8.88671875" style="267"/>
  </cols>
  <sheetData>
    <row r="2" spans="1:22" ht="20.399999999999999">
      <c r="B2" s="1363" t="str">
        <f>"DEBT  SERVICE  FOR  "&amp;UPPER('KEY INPUTS'!D59)&amp;"  UTILITY  NOTES  (OTHER  THAN  UTILITY  ASSESSMENT  NOTES)"</f>
        <v>DEBT  SERVICE  FOR    UTILITY  NOTES  (OTHER  THAN  UTILITY  ASSESSMENT  NOTES)</v>
      </c>
      <c r="C2" s="1363"/>
      <c r="D2" s="1363"/>
      <c r="E2" s="1363"/>
      <c r="F2" s="1363"/>
      <c r="G2" s="1363"/>
      <c r="H2" s="1363"/>
      <c r="I2" s="1363"/>
      <c r="J2" s="1363"/>
      <c r="K2" s="1363"/>
      <c r="L2" s="1363"/>
      <c r="M2" s="1363"/>
    </row>
    <row r="3" spans="1:22" ht="21" thickBot="1">
      <c r="B3" s="1363"/>
      <c r="C3" s="1363"/>
      <c r="D3" s="1363"/>
      <c r="E3" s="1363"/>
      <c r="F3" s="1363"/>
      <c r="G3" s="1363"/>
      <c r="H3" s="1363"/>
      <c r="I3" s="1363"/>
      <c r="J3" s="1363"/>
      <c r="K3" s="1363"/>
      <c r="L3" s="1363"/>
      <c r="M3" s="1363"/>
    </row>
    <row r="4" spans="1:22" ht="13.5" customHeight="1" thickTop="1">
      <c r="B4" s="323"/>
      <c r="C4" s="323"/>
      <c r="D4" s="323"/>
      <c r="E4" s="324"/>
      <c r="F4" s="324"/>
      <c r="G4" s="324"/>
      <c r="H4" s="324"/>
      <c r="I4" s="324"/>
      <c r="J4" s="323"/>
      <c r="K4" s="846"/>
      <c r="L4" s="323"/>
      <c r="M4" s="847"/>
    </row>
    <row r="5" spans="1:22" ht="13.5" customHeight="1">
      <c r="E5" s="320" t="s">
        <v>139</v>
      </c>
      <c r="F5" s="319" t="s">
        <v>139</v>
      </c>
      <c r="G5" s="319" t="s">
        <v>414</v>
      </c>
      <c r="H5" s="319" t="s">
        <v>17</v>
      </c>
      <c r="I5" s="319" t="s">
        <v>542</v>
      </c>
      <c r="J5" s="1423" t="str">
        <f>IF('KEY INPUTS'!C42="State Fiscal Year","Fiscal Year "&amp;'KEY INPUTS'!D33+1&amp;"",'KEY INPUTS'!D34+1)&amp;""</f>
        <v>2025</v>
      </c>
      <c r="K5" s="1424"/>
      <c r="L5" s="848"/>
      <c r="M5" s="849" t="s">
        <v>543</v>
      </c>
    </row>
    <row r="6" spans="1:22" ht="13.5" customHeight="1">
      <c r="C6" s="1352" t="s">
        <v>138</v>
      </c>
      <c r="D6" s="1427"/>
      <c r="E6" s="320" t="s">
        <v>414</v>
      </c>
      <c r="F6" s="319" t="s">
        <v>140</v>
      </c>
      <c r="G6" s="319" t="s">
        <v>539</v>
      </c>
      <c r="H6" s="319" t="s">
        <v>540</v>
      </c>
      <c r="I6" s="319" t="s">
        <v>540</v>
      </c>
      <c r="J6" s="1425"/>
      <c r="K6" s="1426"/>
      <c r="L6" s="850"/>
      <c r="M6" s="849" t="s">
        <v>546</v>
      </c>
    </row>
    <row r="7" spans="1:22" ht="13.5" customHeight="1">
      <c r="E7" s="320" t="s">
        <v>92</v>
      </c>
      <c r="F7" s="320" t="s">
        <v>141</v>
      </c>
      <c r="G7" s="320" t="s">
        <v>198</v>
      </c>
      <c r="H7" s="320" t="s">
        <v>541</v>
      </c>
      <c r="I7" s="320" t="s">
        <v>543</v>
      </c>
      <c r="J7" s="320" t="s">
        <v>113</v>
      </c>
      <c r="K7" s="320" t="s">
        <v>544</v>
      </c>
      <c r="L7" s="319"/>
      <c r="M7" s="849" t="s">
        <v>547</v>
      </c>
    </row>
    <row r="8" spans="1:22" ht="13.5" customHeight="1" thickBot="1">
      <c r="B8" s="318"/>
      <c r="C8" s="318"/>
      <c r="D8" s="318"/>
      <c r="E8" s="316"/>
      <c r="F8" s="316"/>
      <c r="G8" s="605" t="str">
        <f>IF('KEY INPUTS'!C42 = "State Fiscal Year", 'KEY INPUTS'!F47,'KEY INPUTS'!D47)</f>
        <v>Dec. 31, 2024</v>
      </c>
      <c r="H8" s="316"/>
      <c r="I8" s="316"/>
      <c r="J8" s="317"/>
      <c r="K8" s="402"/>
      <c r="L8" s="851"/>
      <c r="M8" s="852"/>
      <c r="P8"/>
      <c r="Q8"/>
      <c r="R8"/>
      <c r="S8"/>
      <c r="T8"/>
      <c r="U8"/>
      <c r="V8"/>
    </row>
    <row r="9" spans="1:22" ht="21" customHeight="1" thickTop="1">
      <c r="B9" s="399" t="s">
        <v>292</v>
      </c>
      <c r="C9" s="518"/>
      <c r="D9" s="520"/>
      <c r="E9" s="454"/>
      <c r="F9" s="950"/>
      <c r="G9" s="454"/>
      <c r="H9" s="964"/>
      <c r="I9" s="606"/>
      <c r="J9" s="454"/>
      <c r="K9" s="454">
        <f>+I9*G9</f>
        <v>0</v>
      </c>
      <c r="L9" s="965"/>
      <c r="M9" s="966"/>
      <c r="P9"/>
      <c r="Q9"/>
      <c r="R9"/>
      <c r="S9"/>
      <c r="T9"/>
      <c r="U9"/>
      <c r="V9"/>
    </row>
    <row r="10" spans="1:22" ht="21" customHeight="1">
      <c r="B10" s="398" t="s">
        <v>293</v>
      </c>
      <c r="C10" s="524"/>
      <c r="D10" s="499"/>
      <c r="E10" s="450"/>
      <c r="F10" s="951"/>
      <c r="G10" s="450"/>
      <c r="H10" s="967"/>
      <c r="I10" s="471"/>
      <c r="J10" s="968"/>
      <c r="K10" s="450">
        <f>+I10*G10</f>
        <v>0</v>
      </c>
      <c r="L10" s="479"/>
      <c r="M10" s="969"/>
      <c r="N10" s="267" t="s">
        <v>3131</v>
      </c>
      <c r="O10" s="267" t="s">
        <v>3131</v>
      </c>
      <c r="P10" s="294"/>
      <c r="Q10"/>
      <c r="R10"/>
      <c r="S10"/>
      <c r="T10"/>
      <c r="U10"/>
      <c r="V10"/>
    </row>
    <row r="11" spans="1:22" ht="21" customHeight="1">
      <c r="B11" s="398" t="s">
        <v>294</v>
      </c>
      <c r="C11" s="495"/>
      <c r="D11" s="499"/>
      <c r="E11" s="450"/>
      <c r="F11" s="529"/>
      <c r="G11" s="450"/>
      <c r="H11" s="450"/>
      <c r="I11" s="471"/>
      <c r="J11" s="450"/>
      <c r="K11" s="450"/>
      <c r="L11" s="479"/>
      <c r="M11" s="528"/>
      <c r="P11"/>
      <c r="Q11"/>
      <c r="R11"/>
      <c r="S11"/>
      <c r="T11"/>
      <c r="U11"/>
      <c r="V11"/>
    </row>
    <row r="12" spans="1:22" ht="21" customHeight="1">
      <c r="B12" s="398" t="s">
        <v>295</v>
      </c>
      <c r="C12" s="495"/>
      <c r="D12" s="499"/>
      <c r="E12" s="450"/>
      <c r="F12" s="529"/>
      <c r="G12" s="450"/>
      <c r="H12" s="450"/>
      <c r="I12" s="471"/>
      <c r="J12" s="450"/>
      <c r="K12" s="450"/>
      <c r="L12" s="479"/>
      <c r="M12" s="528"/>
      <c r="P12"/>
      <c r="Q12"/>
      <c r="R12"/>
      <c r="S12"/>
      <c r="T12"/>
      <c r="U12"/>
      <c r="V12"/>
    </row>
    <row r="13" spans="1:22" ht="21" customHeight="1">
      <c r="B13" s="398" t="s">
        <v>296</v>
      </c>
      <c r="C13" s="495"/>
      <c r="D13" s="499"/>
      <c r="E13" s="450"/>
      <c r="F13" s="529"/>
      <c r="G13" s="450"/>
      <c r="H13" s="450"/>
      <c r="I13" s="471"/>
      <c r="J13" s="450"/>
      <c r="K13" s="450"/>
      <c r="L13" s="479"/>
      <c r="M13" s="528"/>
      <c r="P13"/>
      <c r="Q13"/>
      <c r="R13"/>
      <c r="S13"/>
      <c r="T13"/>
      <c r="U13"/>
      <c r="V13"/>
    </row>
    <row r="14" spans="1:22" ht="21" customHeight="1">
      <c r="B14" s="398" t="s">
        <v>297</v>
      </c>
      <c r="C14" s="495"/>
      <c r="D14" s="499"/>
      <c r="E14" s="453"/>
      <c r="F14" s="530"/>
      <c r="G14" s="453"/>
      <c r="H14" s="453"/>
      <c r="I14" s="474"/>
      <c r="J14" s="450"/>
      <c r="K14" s="450"/>
      <c r="L14" s="479"/>
      <c r="M14" s="528"/>
      <c r="P14"/>
      <c r="Q14"/>
      <c r="R14"/>
      <c r="S14"/>
      <c r="T14"/>
      <c r="U14"/>
      <c r="V14"/>
    </row>
    <row r="15" spans="1:22" ht="21" customHeight="1">
      <c r="A15" s="1367" t="s">
        <v>3167</v>
      </c>
      <c r="B15" s="398" t="s">
        <v>298</v>
      </c>
      <c r="C15" s="531"/>
      <c r="D15" s="532"/>
      <c r="E15" s="450"/>
      <c r="F15" s="529"/>
      <c r="G15" s="450"/>
      <c r="H15" s="450"/>
      <c r="I15" s="471"/>
      <c r="J15" s="450"/>
      <c r="K15" s="450"/>
      <c r="L15" s="479"/>
      <c r="M15" s="528"/>
      <c r="P15"/>
      <c r="Q15"/>
      <c r="R15"/>
      <c r="S15"/>
      <c r="T15"/>
      <c r="U15"/>
      <c r="V15"/>
    </row>
    <row r="16" spans="1:22" ht="21" customHeight="1">
      <c r="A16" s="1367"/>
      <c r="B16" s="398" t="s">
        <v>384</v>
      </c>
      <c r="C16" s="495"/>
      <c r="D16" s="499"/>
      <c r="E16" s="450"/>
      <c r="F16" s="529"/>
      <c r="G16" s="450"/>
      <c r="H16" s="450"/>
      <c r="I16" s="471"/>
      <c r="J16" s="450"/>
      <c r="K16" s="450"/>
      <c r="L16" s="479"/>
      <c r="M16" s="528"/>
      <c r="P16"/>
      <c r="Q16"/>
      <c r="R16"/>
      <c r="S16"/>
      <c r="T16"/>
      <c r="U16"/>
      <c r="V16"/>
    </row>
    <row r="17" spans="1:22" ht="21" customHeight="1">
      <c r="A17" s="1367"/>
      <c r="B17" s="398" t="s">
        <v>385</v>
      </c>
      <c r="C17" s="495"/>
      <c r="D17" s="499"/>
      <c r="E17" s="450"/>
      <c r="F17" s="529"/>
      <c r="G17" s="450"/>
      <c r="H17" s="450"/>
      <c r="I17" s="471"/>
      <c r="J17" s="450"/>
      <c r="K17" s="450"/>
      <c r="L17" s="479"/>
      <c r="M17" s="528"/>
      <c r="P17"/>
      <c r="Q17"/>
      <c r="R17"/>
      <c r="S17"/>
      <c r="T17"/>
      <c r="U17"/>
      <c r="V17"/>
    </row>
    <row r="18" spans="1:22" ht="21" customHeight="1">
      <c r="A18" s="397"/>
      <c r="B18" s="538" t="s">
        <v>786</v>
      </c>
      <c r="C18" s="248"/>
      <c r="D18" s="312"/>
      <c r="E18" s="114">
        <f>SUM(E9:E17)</f>
        <v>0</v>
      </c>
      <c r="F18" s="534"/>
      <c r="G18" s="114">
        <f>SUM(G9:G17)</f>
        <v>0</v>
      </c>
      <c r="H18" s="114"/>
      <c r="I18" s="970"/>
      <c r="J18" s="114">
        <f>SUM(J9:J17)</f>
        <v>0</v>
      </c>
      <c r="K18" s="114">
        <f>SUM(K9:K17)</f>
        <v>0</v>
      </c>
      <c r="L18" s="971"/>
      <c r="M18" s="537"/>
      <c r="P18"/>
      <c r="Q18"/>
      <c r="R18"/>
      <c r="S18"/>
      <c r="T18"/>
      <c r="U18"/>
      <c r="V18"/>
    </row>
    <row r="19" spans="1:22" ht="21" customHeight="1">
      <c r="A19" s="397"/>
      <c r="B19" s="368"/>
      <c r="E19" s="176"/>
      <c r="G19" s="176"/>
      <c r="H19" s="176"/>
      <c r="I19" s="972"/>
      <c r="J19" s="176"/>
      <c r="K19" s="176"/>
      <c r="L19" s="176"/>
      <c r="P19"/>
      <c r="Q19"/>
      <c r="R19"/>
      <c r="S19"/>
      <c r="T19"/>
      <c r="U19"/>
      <c r="V19"/>
    </row>
    <row r="20" spans="1:22" ht="21" customHeight="1">
      <c r="A20" s="397"/>
      <c r="B20" s="368"/>
      <c r="E20" s="176"/>
      <c r="G20" s="176"/>
      <c r="H20" s="176"/>
      <c r="I20" s="972"/>
      <c r="J20" s="176"/>
      <c r="K20" s="176"/>
      <c r="L20" s="176"/>
      <c r="P20"/>
      <c r="Q20"/>
      <c r="R20"/>
      <c r="S20"/>
      <c r="T20"/>
      <c r="U20"/>
      <c r="V20"/>
    </row>
    <row r="21" spans="1:22" ht="13.5" customHeight="1">
      <c r="B21" s="394"/>
      <c r="C21" s="309"/>
      <c r="D21" s="393"/>
      <c r="J21" s="385"/>
      <c r="P21"/>
      <c r="Q21"/>
      <c r="R21"/>
      <c r="S21"/>
      <c r="T21"/>
      <c r="U21"/>
      <c r="V21"/>
    </row>
    <row r="22" spans="1:22">
      <c r="B22" s="361" t="s">
        <v>40</v>
      </c>
      <c r="C22" s="385"/>
      <c r="D22" s="392"/>
      <c r="E22" s="385"/>
      <c r="I22" s="1392"/>
      <c r="J22" s="1392"/>
      <c r="K22" s="1392"/>
      <c r="L22" s="1392"/>
      <c r="M22" s="1392"/>
      <c r="P22"/>
      <c r="Q22"/>
      <c r="R22"/>
      <c r="S22"/>
      <c r="T22"/>
      <c r="U22"/>
      <c r="V22"/>
    </row>
    <row r="23" spans="1:22" ht="15.6" customHeight="1">
      <c r="B23" s="386" t="s">
        <v>41</v>
      </c>
      <c r="C23" s="386"/>
      <c r="D23" s="361" t="s">
        <v>3577</v>
      </c>
      <c r="E23" s="385"/>
      <c r="M23" s="61"/>
      <c r="P23"/>
      <c r="Q23"/>
      <c r="R23"/>
      <c r="S23"/>
      <c r="T23"/>
      <c r="U23"/>
      <c r="V23"/>
    </row>
    <row r="24" spans="1:22" ht="15.6" customHeight="1">
      <c r="B24" s="361"/>
      <c r="C24" s="361"/>
      <c r="D24" s="386" t="s">
        <v>42</v>
      </c>
      <c r="E24" s="385"/>
      <c r="M24" s="973"/>
      <c r="P24"/>
      <c r="Q24"/>
      <c r="R24"/>
      <c r="S24"/>
      <c r="T24"/>
      <c r="U24"/>
      <c r="V24"/>
    </row>
    <row r="25" spans="1:22" ht="15.6" customHeight="1">
      <c r="B25" s="361"/>
      <c r="C25" s="361"/>
      <c r="D25" s="361" t="s">
        <v>43</v>
      </c>
      <c r="E25" s="385"/>
      <c r="M25" s="61"/>
    </row>
    <row r="26" spans="1:22" ht="15.6" customHeight="1">
      <c r="B26" s="361"/>
      <c r="C26" s="361"/>
      <c r="D26" s="361" t="str">
        <f>"All notes with an original date of issue of "&amp;IF('KEY INPUTS'!C42="State Fiscal Year","FY "&amp;'KEY INPUTS'!D33-2&amp;"",'KEY INPUTS'!D34-2)&amp;" or prior require one legally payable installment to be budgeted if"</f>
        <v>All notes with an original date of issue of 2022 or prior require one legally payable installment to be budgeted if</v>
      </c>
      <c r="E26" s="385"/>
      <c r="M26" s="973"/>
    </row>
    <row r="27" spans="1:22" ht="15.6" customHeight="1">
      <c r="B27" s="361"/>
      <c r="C27" s="361"/>
      <c r="D27" s="361" t="str">
        <f>"it is contemplated that such notes will be renewed in "&amp;IF('KEY INPUTS'!C42="State Fiscal Year","FY "&amp;'KEY INPUTS'!D33+1&amp;"",'KEY INPUTS'!D34+1)&amp;" or written intent of permanent financing submitted."</f>
        <v>it is contemplated that such notes will be renewed in 2025 or written intent of permanent financing submitted.</v>
      </c>
      <c r="E27" s="385"/>
      <c r="M27" s="61"/>
    </row>
    <row r="28" spans="1:22">
      <c r="B28" s="361"/>
      <c r="C28" s="361"/>
      <c r="D28" s="361" t="s">
        <v>44</v>
      </c>
      <c r="E28" s="385"/>
    </row>
    <row r="29" spans="1:22">
      <c r="B29" s="385"/>
      <c r="C29" s="385"/>
      <c r="D29" s="386" t="s">
        <v>45</v>
      </c>
      <c r="E29" s="385"/>
    </row>
    <row r="30" spans="1:22">
      <c r="J30" s="385" t="s">
        <v>98</v>
      </c>
    </row>
  </sheetData>
  <sheetProtection algorithmName="SHA-512" hashValue="AJbSqYB0qQZMDayfsypVL5uBQNPFDlSI7jV0uYEg/lezRgQFukQKLVbX3M0otB8o8H1qBM3vwrFbXE/A0x2hwA==" saltValue="AljLieyGj3mYP+GqTyCfGw=="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4BD06-DE3B-4B05-9667-BD9310D208D6}">
  <sheetPr codeName="Sheet283">
    <tabColor theme="3" tint="0.79998168889431442"/>
  </sheetPr>
  <dimension ref="A2:V30"/>
  <sheetViews>
    <sheetView zoomScaleNormal="100" zoomScaleSheetLayoutView="80" workbookViewId="0">
      <selection activeCell="I30" sqref="I30"/>
    </sheetView>
  </sheetViews>
  <sheetFormatPr defaultColWidth="8.88671875" defaultRowHeight="13.2"/>
  <cols>
    <col min="1" max="1" width="5.6640625" style="267" customWidth="1"/>
    <col min="2" max="3" width="4.88671875" style="267" customWidth="1"/>
    <col min="4" max="4" width="30.44140625" style="267" customWidth="1"/>
    <col min="5" max="11" width="15.6640625" style="267" customWidth="1"/>
    <col min="12" max="12" width="1.6640625" style="267" customWidth="1"/>
    <col min="13" max="13" width="12.6640625" style="267" customWidth="1"/>
    <col min="14" max="16384" width="8.88671875" style="267"/>
  </cols>
  <sheetData>
    <row r="2" spans="1:22" ht="20.399999999999999">
      <c r="B2" s="1363" t="str">
        <f>"DEBT  SERVICE  FOR  "&amp;UPPER('KEY INPUTS'!D59)&amp;"  UTILITY  NOTES  (OTHER  THAN  UTILITY  ASSESSMENT  NOTES)"</f>
        <v>DEBT  SERVICE  FOR    UTILITY  NOTES  (OTHER  THAN  UTILITY  ASSESSMENT  NOTES)</v>
      </c>
      <c r="C2" s="1363"/>
      <c r="D2" s="1363"/>
      <c r="E2" s="1363"/>
      <c r="F2" s="1363"/>
      <c r="G2" s="1363"/>
      <c r="H2" s="1363"/>
      <c r="I2" s="1363"/>
      <c r="J2" s="1363"/>
      <c r="K2" s="1363"/>
      <c r="L2" s="1363"/>
      <c r="M2" s="1363"/>
    </row>
    <row r="3" spans="1:22" ht="21" thickBot="1">
      <c r="B3" s="1363"/>
      <c r="C3" s="1363"/>
      <c r="D3" s="1363"/>
      <c r="E3" s="1363"/>
      <c r="F3" s="1363"/>
      <c r="G3" s="1363"/>
      <c r="H3" s="1363"/>
      <c r="I3" s="1363"/>
      <c r="J3" s="1363"/>
      <c r="K3" s="1363"/>
      <c r="L3" s="1363"/>
      <c r="M3" s="1363"/>
    </row>
    <row r="4" spans="1:22" ht="13.5" customHeight="1" thickTop="1">
      <c r="B4" s="323"/>
      <c r="C4" s="323"/>
      <c r="D4" s="323"/>
      <c r="E4" s="324"/>
      <c r="F4" s="324"/>
      <c r="G4" s="324"/>
      <c r="H4" s="324"/>
      <c r="I4" s="324"/>
      <c r="J4" s="323"/>
      <c r="K4" s="846"/>
      <c r="L4" s="323"/>
      <c r="M4" s="847"/>
    </row>
    <row r="5" spans="1:22" ht="13.5" customHeight="1">
      <c r="E5" s="320" t="s">
        <v>139</v>
      </c>
      <c r="F5" s="319" t="s">
        <v>139</v>
      </c>
      <c r="G5" s="319" t="s">
        <v>414</v>
      </c>
      <c r="H5" s="319" t="s">
        <v>17</v>
      </c>
      <c r="I5" s="319" t="s">
        <v>542</v>
      </c>
      <c r="J5" s="1423" t="str">
        <f>IF('KEY INPUTS'!C42="State Fiscal Year","Fiscal Year "&amp;'KEY INPUTS'!D33+1&amp;"",'KEY INPUTS'!D34+1)&amp;""</f>
        <v>2025</v>
      </c>
      <c r="K5" s="1424"/>
      <c r="L5" s="848"/>
      <c r="M5" s="849" t="s">
        <v>543</v>
      </c>
    </row>
    <row r="6" spans="1:22" ht="13.5" customHeight="1">
      <c r="C6" s="1352" t="s">
        <v>138</v>
      </c>
      <c r="D6" s="1427"/>
      <c r="E6" s="320" t="s">
        <v>414</v>
      </c>
      <c r="F6" s="319" t="s">
        <v>140</v>
      </c>
      <c r="G6" s="319" t="s">
        <v>539</v>
      </c>
      <c r="H6" s="319" t="s">
        <v>540</v>
      </c>
      <c r="I6" s="319" t="s">
        <v>540</v>
      </c>
      <c r="J6" s="1425"/>
      <c r="K6" s="1426"/>
      <c r="L6" s="850"/>
      <c r="M6" s="849" t="s">
        <v>546</v>
      </c>
    </row>
    <row r="7" spans="1:22" ht="13.5" customHeight="1">
      <c r="E7" s="320" t="s">
        <v>92</v>
      </c>
      <c r="F7" s="320" t="s">
        <v>141</v>
      </c>
      <c r="G7" s="320" t="s">
        <v>198</v>
      </c>
      <c r="H7" s="320" t="s">
        <v>541</v>
      </c>
      <c r="I7" s="320" t="s">
        <v>543</v>
      </c>
      <c r="J7" s="320" t="s">
        <v>113</v>
      </c>
      <c r="K7" s="320" t="s">
        <v>544</v>
      </c>
      <c r="L7" s="319"/>
      <c r="M7" s="849" t="s">
        <v>547</v>
      </c>
    </row>
    <row r="8" spans="1:22" ht="13.5" customHeight="1" thickBot="1">
      <c r="B8" s="318"/>
      <c r="C8" s="318"/>
      <c r="D8" s="318"/>
      <c r="E8" s="316"/>
      <c r="F8" s="316"/>
      <c r="G8" s="605" t="str">
        <f>IF('KEY INPUTS'!C42 = "State Fiscal Year", 'KEY INPUTS'!F47,'KEY INPUTS'!D47)</f>
        <v>Dec. 31, 2024</v>
      </c>
      <c r="H8" s="316"/>
      <c r="I8" s="316"/>
      <c r="J8" s="317"/>
      <c r="K8" s="402"/>
      <c r="L8" s="851"/>
      <c r="M8" s="852"/>
      <c r="P8"/>
      <c r="Q8"/>
      <c r="R8"/>
      <c r="S8"/>
      <c r="T8"/>
      <c r="U8"/>
      <c r="V8"/>
    </row>
    <row r="9" spans="1:22" ht="21" customHeight="1" thickTop="1">
      <c r="B9" s="399" t="s">
        <v>292</v>
      </c>
      <c r="C9" s="518"/>
      <c r="D9" s="520"/>
      <c r="E9" s="466"/>
      <c r="F9" s="950"/>
      <c r="G9" s="466"/>
      <c r="H9" s="522"/>
      <c r="I9" s="468"/>
      <c r="J9" s="466"/>
      <c r="K9" s="466"/>
      <c r="L9" s="477"/>
      <c r="M9" s="523"/>
      <c r="P9"/>
      <c r="Q9"/>
      <c r="R9"/>
      <c r="S9"/>
      <c r="T9"/>
      <c r="U9"/>
      <c r="V9"/>
    </row>
    <row r="10" spans="1:22" ht="21" customHeight="1">
      <c r="B10" s="398" t="s">
        <v>293</v>
      </c>
      <c r="C10" s="524"/>
      <c r="D10" s="499"/>
      <c r="E10" s="450"/>
      <c r="F10" s="951"/>
      <c r="G10" s="450"/>
      <c r="H10" s="450"/>
      <c r="I10" s="526"/>
      <c r="J10" s="527"/>
      <c r="K10" s="450"/>
      <c r="L10" s="479"/>
      <c r="M10" s="528"/>
      <c r="N10" s="267" t="s">
        <v>3131</v>
      </c>
      <c r="O10" s="267" t="s">
        <v>3131</v>
      </c>
      <c r="P10" s="294"/>
      <c r="Q10"/>
      <c r="R10"/>
      <c r="S10"/>
      <c r="T10"/>
      <c r="U10"/>
      <c r="V10"/>
    </row>
    <row r="11" spans="1:22" ht="21" customHeight="1">
      <c r="B11" s="398" t="s">
        <v>294</v>
      </c>
      <c r="C11" s="495"/>
      <c r="D11" s="499"/>
      <c r="E11" s="450"/>
      <c r="F11" s="529"/>
      <c r="G11" s="450"/>
      <c r="H11" s="450"/>
      <c r="I11" s="471"/>
      <c r="J11" s="450"/>
      <c r="K11" s="450"/>
      <c r="L11" s="479"/>
      <c r="M11" s="528"/>
      <c r="P11"/>
      <c r="Q11"/>
      <c r="R11"/>
      <c r="S11"/>
      <c r="T11"/>
      <c r="U11"/>
      <c r="V11"/>
    </row>
    <row r="12" spans="1:22" ht="21" customHeight="1">
      <c r="B12" s="398" t="s">
        <v>295</v>
      </c>
      <c r="C12" s="495"/>
      <c r="D12" s="499"/>
      <c r="E12" s="450"/>
      <c r="F12" s="529"/>
      <c r="G12" s="450"/>
      <c r="H12" s="450"/>
      <c r="I12" s="471"/>
      <c r="J12" s="450"/>
      <c r="K12" s="450"/>
      <c r="L12" s="479"/>
      <c r="M12" s="528"/>
      <c r="P12"/>
      <c r="Q12"/>
      <c r="R12"/>
      <c r="S12"/>
      <c r="T12"/>
      <c r="U12"/>
      <c r="V12"/>
    </row>
    <row r="13" spans="1:22" ht="21" customHeight="1">
      <c r="B13" s="398" t="s">
        <v>296</v>
      </c>
      <c r="C13" s="495"/>
      <c r="D13" s="499"/>
      <c r="E13" s="450"/>
      <c r="F13" s="529"/>
      <c r="G13" s="450"/>
      <c r="H13" s="450"/>
      <c r="I13" s="471"/>
      <c r="J13" s="450"/>
      <c r="K13" s="450"/>
      <c r="L13" s="479"/>
      <c r="M13" s="528"/>
      <c r="P13"/>
      <c r="Q13"/>
      <c r="R13"/>
      <c r="S13"/>
      <c r="T13"/>
      <c r="U13"/>
      <c r="V13"/>
    </row>
    <row r="14" spans="1:22" ht="21" customHeight="1">
      <c r="B14" s="398" t="s">
        <v>297</v>
      </c>
      <c r="C14" s="495"/>
      <c r="D14" s="499"/>
      <c r="E14" s="453"/>
      <c r="F14" s="530"/>
      <c r="G14" s="453"/>
      <c r="H14" s="453"/>
      <c r="I14" s="474"/>
      <c r="J14" s="450"/>
      <c r="K14" s="450"/>
      <c r="L14" s="479"/>
      <c r="M14" s="528"/>
      <c r="P14"/>
      <c r="Q14"/>
      <c r="R14"/>
      <c r="S14"/>
      <c r="T14"/>
      <c r="U14"/>
      <c r="V14"/>
    </row>
    <row r="15" spans="1:22" ht="21" customHeight="1">
      <c r="A15" s="1367" t="s">
        <v>3167</v>
      </c>
      <c r="B15" s="398" t="s">
        <v>298</v>
      </c>
      <c r="C15" s="531"/>
      <c r="D15" s="532"/>
      <c r="E15" s="450"/>
      <c r="F15" s="529"/>
      <c r="G15" s="450"/>
      <c r="H15" s="450"/>
      <c r="I15" s="471"/>
      <c r="J15" s="450"/>
      <c r="K15" s="450"/>
      <c r="L15" s="479"/>
      <c r="M15" s="528"/>
      <c r="P15"/>
      <c r="Q15"/>
      <c r="R15"/>
      <c r="S15"/>
      <c r="T15"/>
      <c r="U15"/>
      <c r="V15"/>
    </row>
    <row r="16" spans="1:22" ht="21" customHeight="1">
      <c r="A16" s="1367"/>
      <c r="B16" s="398" t="s">
        <v>384</v>
      </c>
      <c r="C16" s="495"/>
      <c r="D16" s="499"/>
      <c r="E16" s="450"/>
      <c r="F16" s="529"/>
      <c r="G16" s="450"/>
      <c r="H16" s="450"/>
      <c r="I16" s="471"/>
      <c r="J16" s="450"/>
      <c r="K16" s="450"/>
      <c r="L16" s="479"/>
      <c r="M16" s="528"/>
      <c r="P16"/>
      <c r="Q16"/>
      <c r="R16"/>
      <c r="S16"/>
      <c r="T16"/>
      <c r="U16"/>
      <c r="V16"/>
    </row>
    <row r="17" spans="1:22" ht="21" customHeight="1">
      <c r="A17" s="1367"/>
      <c r="B17" s="398" t="s">
        <v>385</v>
      </c>
      <c r="C17" s="495"/>
      <c r="D17" s="499"/>
      <c r="E17" s="450"/>
      <c r="F17" s="529"/>
      <c r="G17" s="450"/>
      <c r="H17" s="450"/>
      <c r="I17" s="471"/>
      <c r="J17" s="450"/>
      <c r="K17" s="450"/>
      <c r="L17" s="479"/>
      <c r="M17" s="528"/>
      <c r="P17"/>
      <c r="Q17"/>
      <c r="R17"/>
      <c r="S17"/>
      <c r="T17"/>
      <c r="U17"/>
      <c r="V17"/>
    </row>
    <row r="18" spans="1:22" ht="21" customHeight="1">
      <c r="A18" s="397"/>
      <c r="B18" s="538" t="s">
        <v>786</v>
      </c>
      <c r="C18" s="248"/>
      <c r="D18" s="312"/>
      <c r="E18" s="533">
        <f>SUM(E9:E17)+'50-Utility6'!E18</f>
        <v>0</v>
      </c>
      <c r="F18" s="534"/>
      <c r="G18" s="533">
        <f>SUM(G9:G17)+'50-Utility6'!G18</f>
        <v>0</v>
      </c>
      <c r="H18" s="533"/>
      <c r="I18" s="535"/>
      <c r="J18" s="533">
        <f>SUM(J9:J17)+'50-Utility6'!J18</f>
        <v>0</v>
      </c>
      <c r="K18" s="533">
        <f>SUM(K9:K17)+'50-Utility6'!K18</f>
        <v>0</v>
      </c>
      <c r="L18" s="536"/>
      <c r="M18" s="537"/>
      <c r="P18"/>
      <c r="Q18"/>
      <c r="R18"/>
      <c r="S18"/>
      <c r="T18"/>
      <c r="U18"/>
      <c r="V18"/>
    </row>
    <row r="19" spans="1:22" ht="21" customHeight="1">
      <c r="A19" s="397"/>
      <c r="B19" s="368"/>
      <c r="E19" s="908"/>
      <c r="G19" s="908"/>
      <c r="H19" s="908"/>
      <c r="I19" s="909"/>
      <c r="J19" s="908"/>
      <c r="K19" s="908"/>
      <c r="L19" s="908"/>
      <c r="P19"/>
      <c r="Q19"/>
      <c r="R19"/>
      <c r="S19"/>
      <c r="T19"/>
      <c r="U19"/>
      <c r="V19"/>
    </row>
    <row r="20" spans="1:22" ht="21" customHeight="1">
      <c r="A20" s="397"/>
      <c r="B20" s="368"/>
      <c r="E20" s="908"/>
      <c r="G20" s="908"/>
      <c r="H20" s="908"/>
      <c r="I20" s="909"/>
      <c r="J20" s="908"/>
      <c r="K20" s="908"/>
      <c r="L20" s="908"/>
      <c r="P20"/>
      <c r="Q20"/>
      <c r="R20"/>
      <c r="S20"/>
      <c r="T20"/>
      <c r="U20"/>
      <c r="V20"/>
    </row>
    <row r="21" spans="1:22" ht="13.5" customHeight="1" thickBot="1">
      <c r="B21" s="394"/>
      <c r="C21" s="309"/>
      <c r="D21" s="393"/>
      <c r="J21" s="385"/>
      <c r="P21"/>
      <c r="Q21"/>
      <c r="R21"/>
      <c r="S21"/>
      <c r="T21"/>
      <c r="U21"/>
      <c r="V21"/>
    </row>
    <row r="22" spans="1:22" ht="14.4" thickTop="1" thickBot="1">
      <c r="B22" s="361" t="s">
        <v>40</v>
      </c>
      <c r="C22" s="385"/>
      <c r="D22" s="392"/>
      <c r="E22" s="385"/>
      <c r="I22" s="1428" t="str">
        <f>"INTEREST  ON  NOTES  -  "&amp;UPPER('KEY INPUTS'!D59)&amp;" UTILITY  BUDGET"</f>
        <v>INTEREST  ON  NOTES  -   UTILITY  BUDGET</v>
      </c>
      <c r="J22" s="1429"/>
      <c r="K22" s="1429"/>
      <c r="L22" s="1429"/>
      <c r="M22" s="1430"/>
      <c r="P22"/>
      <c r="Q22"/>
      <c r="R22"/>
      <c r="S22"/>
      <c r="T22"/>
      <c r="U22"/>
      <c r="V22"/>
    </row>
    <row r="23" spans="1:22" ht="15.6" customHeight="1">
      <c r="B23" s="386" t="s">
        <v>41</v>
      </c>
      <c r="C23" s="386"/>
      <c r="D23" s="361" t="s">
        <v>3577</v>
      </c>
      <c r="E23" s="385"/>
      <c r="I23" s="391" t="str">
        <f>IF('KEY INPUTS'!C42="State Fiscal Year","Fiscal Year "&amp;'KEY INPUTS'!D33+1&amp;"",'KEY INPUTS'!D34+1)&amp;" Interest on Notes"</f>
        <v>2025 Interest on Notes</v>
      </c>
      <c r="J23" s="357"/>
      <c r="K23" s="357"/>
      <c r="L23" s="390" t="s">
        <v>373</v>
      </c>
      <c r="M23" s="843">
        <f>K18</f>
        <v>0</v>
      </c>
      <c r="P23"/>
      <c r="Q23"/>
      <c r="R23"/>
      <c r="S23"/>
      <c r="T23"/>
      <c r="U23"/>
      <c r="V23"/>
    </row>
    <row r="24" spans="1:22" ht="15.6" customHeight="1">
      <c r="B24" s="361"/>
      <c r="C24" s="361"/>
      <c r="D24" s="386" t="s">
        <v>42</v>
      </c>
      <c r="E24" s="385"/>
      <c r="I24" s="376" t="str">
        <f>"Less: Interest Accrued to "&amp;IF('KEY INPUTS'!C42="State Fiscal Year",(TEXT('KEY INPUTS'!F29,"mm/dd/yyy")),(TEXT('KEY INPUTS'!D29,"mm/dd/yyy")))&amp;" (Trial Balance)"</f>
        <v>Less: Interest Accrued to 12/31/2024 (Trial Balance)</v>
      </c>
      <c r="J24" s="248"/>
      <c r="K24" s="248"/>
      <c r="L24" s="389" t="s">
        <v>373</v>
      </c>
      <c r="M24" s="517"/>
      <c r="P24"/>
      <c r="Q24"/>
      <c r="R24"/>
      <c r="S24"/>
      <c r="T24"/>
      <c r="U24"/>
      <c r="V24"/>
    </row>
    <row r="25" spans="1:22" ht="15.6" customHeight="1">
      <c r="B25" s="361"/>
      <c r="C25" s="361"/>
      <c r="D25" s="361" t="s">
        <v>43</v>
      </c>
      <c r="E25" s="385"/>
      <c r="I25" s="376"/>
      <c r="J25" s="248" t="s">
        <v>317</v>
      </c>
      <c r="K25" s="248"/>
      <c r="L25" s="389" t="s">
        <v>373</v>
      </c>
      <c r="M25" s="844">
        <f>+M23-M24</f>
        <v>0</v>
      </c>
    </row>
    <row r="26" spans="1:22" ht="15.6" customHeight="1">
      <c r="B26" s="361"/>
      <c r="C26" s="361"/>
      <c r="D26" s="361" t="str">
        <f>"All notes with an original date of issue of "&amp;IF('KEY INPUTS'!C42="State Fiscal Year","FY "&amp;'KEY INPUTS'!D33-2&amp;"",'KEY INPUTS'!D34-2)&amp;" or prior require one legally payable installment to be budgeted if"</f>
        <v>All notes with an original date of issue of 2022 or prior require one legally payable installment to be budgeted if</v>
      </c>
      <c r="E26" s="385"/>
      <c r="I26" s="376" t="str">
        <f>"Add: Interest to be Accrued as of "&amp;IF('KEY INPUTS'!C42="State Fiscal Year",(TEXT('KEY INPUTS'!F30,"mm/dd/yyy")),(TEXT('KEY INPUTS'!D30,"mm/dd/yyy")))&amp;""</f>
        <v>Add: Interest to be Accrued as of 12/31/2025</v>
      </c>
      <c r="J26" s="248"/>
      <c r="K26" s="248"/>
      <c r="L26" s="389" t="s">
        <v>373</v>
      </c>
      <c r="M26" s="517"/>
    </row>
    <row r="27" spans="1:22" ht="15.6" customHeight="1" thickBot="1">
      <c r="B27" s="361"/>
      <c r="C27" s="361"/>
      <c r="D27" s="361" t="str">
        <f>"it is contemplated that such notes will be renewed in "&amp;IF('KEY INPUTS'!C42="State Fiscal Year","FY "&amp;'KEY INPUTS'!D33+1&amp;"",'KEY INPUTS'!D34+1)&amp;" or written intent of permanent financing submitted."</f>
        <v>it is contemplated that such notes will be renewed in 2025 or written intent of permanent financing submitted.</v>
      </c>
      <c r="E27" s="385"/>
      <c r="I27" s="315" t="str">
        <f>"Required Appropriation "&amp;IF('KEY INPUTS'!C42="State Fiscal Year","Fiscal Year "&amp;'KEY INPUTS'!D33+1&amp;"",'KEY INPUTS'!D34+1)&amp;""</f>
        <v>Required Appropriation 2025</v>
      </c>
      <c r="J27" s="318"/>
      <c r="K27" s="318"/>
      <c r="L27" s="388" t="s">
        <v>373</v>
      </c>
      <c r="M27" s="845">
        <f>+M25+M26</f>
        <v>0</v>
      </c>
    </row>
    <row r="28" spans="1:22" ht="13.8" thickTop="1">
      <c r="B28" s="361"/>
      <c r="C28" s="361"/>
      <c r="D28" s="361" t="s">
        <v>44</v>
      </c>
      <c r="E28" s="385"/>
    </row>
    <row r="29" spans="1:22">
      <c r="B29" s="385"/>
      <c r="C29" s="385"/>
      <c r="D29" s="386" t="s">
        <v>45</v>
      </c>
      <c r="E29" s="385"/>
    </row>
    <row r="30" spans="1:22">
      <c r="J30" s="385" t="s">
        <v>98</v>
      </c>
    </row>
  </sheetData>
  <sheetProtection algorithmName="SHA-512" hashValue="Rz6CdOdMqPvXJL/6raYJ0Vcf+GIqrMm3TupIdYn/dvSQe8e0DzVU/zTb3FbjrfTb+aGaR9roB3lMpwPJk5DYZw==" saltValue="b/ZMbbfhlZUtjA2kkscNgQ=="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CEF26-B0D9-406F-80B0-58AB271BFE9D}">
  <sheetPr codeName="Sheet284">
    <tabColor theme="3" tint="0.79998168889431442"/>
  </sheetPr>
  <dimension ref="A2:T29"/>
  <sheetViews>
    <sheetView zoomScaleNormal="100" zoomScaleSheetLayoutView="80" workbookViewId="0">
      <selection activeCell="I24" sqref="I24"/>
    </sheetView>
  </sheetViews>
  <sheetFormatPr defaultColWidth="9.109375" defaultRowHeight="13.2"/>
  <cols>
    <col min="1" max="1" width="5.6640625" style="267" customWidth="1"/>
    <col min="2" max="3" width="4.88671875" style="267" customWidth="1"/>
    <col min="4" max="4" width="31.5546875" style="267" customWidth="1"/>
    <col min="5" max="12" width="15.6640625" style="267" customWidth="1"/>
    <col min="13" max="16384" width="9.109375" style="267"/>
  </cols>
  <sheetData>
    <row r="2" spans="1:20" ht="20.399999999999999">
      <c r="B2" s="1363" t="str">
        <f>"DEBT  SERVICE  SCHEDULE  FOR  "&amp;UPPER('KEY INPUTS'!D59) &amp;"  UTILITY  ASSESSMENT  NOTES"</f>
        <v>DEBT  SERVICE  SCHEDULE  FOR    UTILITY  ASSESSMENT  NOTES</v>
      </c>
      <c r="C2" s="1363"/>
      <c r="D2" s="1363"/>
      <c r="E2" s="1363"/>
      <c r="F2" s="1363"/>
      <c r="G2" s="1363"/>
      <c r="H2" s="1363"/>
      <c r="I2" s="1363"/>
      <c r="J2" s="1363"/>
      <c r="K2" s="1363"/>
      <c r="L2" s="1363"/>
    </row>
    <row r="3" spans="1:20" ht="21" thickBot="1">
      <c r="B3" s="1363"/>
      <c r="C3" s="1363"/>
      <c r="D3" s="1363"/>
      <c r="E3" s="1363"/>
      <c r="F3" s="1363"/>
      <c r="G3" s="1363"/>
      <c r="H3" s="1363"/>
      <c r="I3" s="1363"/>
      <c r="J3" s="1363"/>
      <c r="K3" s="1363"/>
      <c r="L3" s="1363"/>
    </row>
    <row r="4" spans="1:20" ht="13.5" customHeight="1" thickTop="1">
      <c r="B4" s="1473"/>
      <c r="C4" s="1473"/>
      <c r="D4" s="1474"/>
      <c r="E4" s="618"/>
      <c r="F4" s="324"/>
      <c r="G4" s="324"/>
      <c r="H4" s="324"/>
      <c r="I4" s="324"/>
      <c r="J4" s="323"/>
      <c r="K4" s="323"/>
      <c r="L4" s="322"/>
    </row>
    <row r="5" spans="1:20" ht="13.5" customHeight="1">
      <c r="E5" s="320" t="s">
        <v>139</v>
      </c>
      <c r="F5" s="319" t="s">
        <v>139</v>
      </c>
      <c r="G5" s="319" t="s">
        <v>414</v>
      </c>
      <c r="H5" s="319" t="s">
        <v>17</v>
      </c>
      <c r="I5" s="319" t="s">
        <v>542</v>
      </c>
      <c r="J5" s="1423" t="str">
        <f>IF('KEY INPUTS'!C42="State Fiscal Year","Fiscal Year "&amp;'KEY INPUTS'!D33+1&amp;"",'KEY INPUTS'!D34+1)&amp;""</f>
        <v>2025</v>
      </c>
      <c r="K5" s="1424"/>
      <c r="L5" s="321" t="s">
        <v>543</v>
      </c>
    </row>
    <row r="6" spans="1:20" ht="13.5" customHeight="1">
      <c r="C6" s="1352" t="s">
        <v>138</v>
      </c>
      <c r="D6" s="1427"/>
      <c r="E6" s="320" t="s">
        <v>414</v>
      </c>
      <c r="F6" s="319" t="s">
        <v>140</v>
      </c>
      <c r="G6" s="319" t="s">
        <v>539</v>
      </c>
      <c r="H6" s="319" t="s">
        <v>540</v>
      </c>
      <c r="I6" s="319" t="s">
        <v>540</v>
      </c>
      <c r="J6" s="1425"/>
      <c r="K6" s="1426"/>
      <c r="L6" s="321" t="s">
        <v>546</v>
      </c>
    </row>
    <row r="7" spans="1:20" ht="13.5" customHeight="1">
      <c r="E7" s="320" t="s">
        <v>92</v>
      </c>
      <c r="F7" s="320" t="s">
        <v>141</v>
      </c>
      <c r="G7" s="320" t="s">
        <v>198</v>
      </c>
      <c r="H7" s="320" t="s">
        <v>541</v>
      </c>
      <c r="I7" s="320" t="s">
        <v>543</v>
      </c>
      <c r="J7" s="320" t="s">
        <v>113</v>
      </c>
      <c r="K7" s="320" t="s">
        <v>544</v>
      </c>
      <c r="L7" s="321" t="s">
        <v>547</v>
      </c>
      <c r="N7"/>
      <c r="O7"/>
      <c r="P7"/>
      <c r="Q7"/>
      <c r="R7"/>
      <c r="S7"/>
      <c r="T7"/>
    </row>
    <row r="8" spans="1:20" ht="13.5" customHeight="1" thickBot="1">
      <c r="B8" s="318"/>
      <c r="C8" s="318"/>
      <c r="D8" s="318"/>
      <c r="E8" s="316"/>
      <c r="F8" s="316"/>
      <c r="G8" s="605" t="str">
        <f>IF('KEY INPUTS'!C42 = "State Fiscal Year", 'KEY INPUTS'!F47,'KEY INPUTS'!D47)</f>
        <v>Dec. 31, 2024</v>
      </c>
      <c r="H8" s="316"/>
      <c r="I8" s="316"/>
      <c r="J8" s="317"/>
      <c r="K8" s="402" t="s">
        <v>545</v>
      </c>
      <c r="L8" s="314"/>
      <c r="N8"/>
      <c r="O8"/>
      <c r="P8"/>
      <c r="Q8"/>
      <c r="R8"/>
      <c r="S8"/>
      <c r="T8"/>
    </row>
    <row r="9" spans="1:20" ht="21" customHeight="1" thickTop="1">
      <c r="B9" s="1435"/>
      <c r="C9" s="1435"/>
      <c r="D9" s="1436"/>
      <c r="E9" s="454"/>
      <c r="F9" s="539"/>
      <c r="G9" s="454"/>
      <c r="H9" s="454"/>
      <c r="I9" s="606"/>
      <c r="J9" s="454"/>
      <c r="K9" s="454"/>
      <c r="L9" s="540"/>
      <c r="N9" s="294"/>
      <c r="O9"/>
      <c r="P9"/>
      <c r="Q9"/>
      <c r="R9"/>
      <c r="S9"/>
      <c r="T9"/>
    </row>
    <row r="10" spans="1:20" ht="21" customHeight="1">
      <c r="B10" s="1431"/>
      <c r="C10" s="1431"/>
      <c r="D10" s="1432"/>
      <c r="E10" s="450"/>
      <c r="F10" s="529"/>
      <c r="G10" s="450"/>
      <c r="H10" s="450"/>
      <c r="I10" s="471"/>
      <c r="J10" s="450"/>
      <c r="K10" s="450"/>
      <c r="L10" s="541"/>
      <c r="N10"/>
      <c r="O10"/>
      <c r="P10"/>
      <c r="Q10"/>
      <c r="R10"/>
      <c r="S10"/>
      <c r="T10"/>
    </row>
    <row r="11" spans="1:20" ht="21" customHeight="1">
      <c r="B11" s="1431"/>
      <c r="C11" s="1431"/>
      <c r="D11" s="1432"/>
      <c r="E11" s="450"/>
      <c r="F11" s="529"/>
      <c r="G11" s="450"/>
      <c r="H11" s="450"/>
      <c r="I11" s="471"/>
      <c r="J11" s="450"/>
      <c r="K11" s="450"/>
      <c r="L11" s="541"/>
      <c r="N11"/>
      <c r="O11"/>
      <c r="P11"/>
      <c r="Q11"/>
      <c r="R11"/>
      <c r="S11"/>
      <c r="T11"/>
    </row>
    <row r="12" spans="1:20" ht="21" customHeight="1">
      <c r="B12" s="1431"/>
      <c r="C12" s="1431"/>
      <c r="D12" s="1432"/>
      <c r="E12" s="450"/>
      <c r="F12" s="529"/>
      <c r="G12" s="450"/>
      <c r="H12" s="450"/>
      <c r="I12" s="471"/>
      <c r="J12" s="450"/>
      <c r="K12" s="450"/>
      <c r="L12" s="541"/>
      <c r="N12"/>
      <c r="O12"/>
      <c r="P12"/>
      <c r="Q12"/>
      <c r="R12"/>
      <c r="S12"/>
      <c r="T12"/>
    </row>
    <row r="13" spans="1:20" ht="21" customHeight="1">
      <c r="B13" s="1431"/>
      <c r="C13" s="1431"/>
      <c r="D13" s="1432"/>
      <c r="E13" s="450"/>
      <c r="F13" s="529"/>
      <c r="G13" s="450"/>
      <c r="H13" s="450"/>
      <c r="I13" s="471"/>
      <c r="J13" s="450"/>
      <c r="K13" s="450"/>
      <c r="L13" s="541"/>
      <c r="N13"/>
      <c r="O13"/>
      <c r="P13"/>
      <c r="Q13"/>
      <c r="R13"/>
      <c r="S13"/>
      <c r="T13"/>
    </row>
    <row r="14" spans="1:20" ht="21" customHeight="1">
      <c r="B14" s="1431"/>
      <c r="C14" s="1431"/>
      <c r="D14" s="1432"/>
      <c r="E14" s="453"/>
      <c r="F14" s="530"/>
      <c r="G14" s="453"/>
      <c r="H14" s="453"/>
      <c r="I14" s="474"/>
      <c r="J14" s="450"/>
      <c r="K14" s="450"/>
      <c r="L14" s="541"/>
      <c r="N14"/>
      <c r="O14"/>
      <c r="P14"/>
      <c r="Q14"/>
      <c r="R14"/>
      <c r="S14"/>
      <c r="T14"/>
    </row>
    <row r="15" spans="1:20" ht="21" customHeight="1">
      <c r="A15" s="1367" t="s">
        <v>3168</v>
      </c>
      <c r="B15" s="1431"/>
      <c r="C15" s="1431"/>
      <c r="D15" s="1432"/>
      <c r="E15" s="450"/>
      <c r="F15" s="529"/>
      <c r="G15" s="450"/>
      <c r="H15" s="450"/>
      <c r="I15" s="471"/>
      <c r="J15" s="450"/>
      <c r="K15" s="450"/>
      <c r="L15" s="541"/>
      <c r="N15"/>
      <c r="O15"/>
      <c r="P15"/>
      <c r="Q15"/>
      <c r="R15"/>
      <c r="S15"/>
      <c r="T15"/>
    </row>
    <row r="16" spans="1:20" ht="21" customHeight="1">
      <c r="A16" s="1367"/>
      <c r="B16" s="1431"/>
      <c r="C16" s="1431"/>
      <c r="D16" s="1432"/>
      <c r="E16" s="450"/>
      <c r="F16" s="529"/>
      <c r="G16" s="450"/>
      <c r="H16" s="450"/>
      <c r="I16" s="471"/>
      <c r="J16" s="450"/>
      <c r="K16" s="450"/>
      <c r="L16" s="541"/>
      <c r="N16"/>
      <c r="O16"/>
      <c r="P16"/>
      <c r="Q16"/>
      <c r="R16"/>
      <c r="S16"/>
      <c r="T16"/>
    </row>
    <row r="17" spans="1:20" ht="21" customHeight="1">
      <c r="A17" s="1367"/>
      <c r="B17" s="1431"/>
      <c r="C17" s="1431"/>
      <c r="D17" s="1432"/>
      <c r="E17" s="450"/>
      <c r="F17" s="529"/>
      <c r="G17" s="450"/>
      <c r="H17" s="450"/>
      <c r="I17" s="471"/>
      <c r="J17" s="450"/>
      <c r="K17" s="450"/>
      <c r="L17" s="541"/>
      <c r="N17"/>
      <c r="O17"/>
      <c r="P17"/>
      <c r="Q17"/>
      <c r="R17"/>
      <c r="S17"/>
      <c r="T17"/>
    </row>
    <row r="18" spans="1:20" ht="21" customHeight="1">
      <c r="A18" s="397"/>
      <c r="B18" s="1431"/>
      <c r="C18" s="1431"/>
      <c r="D18" s="1432"/>
      <c r="E18" s="450"/>
      <c r="F18" s="529"/>
      <c r="G18" s="450"/>
      <c r="H18" s="450"/>
      <c r="I18" s="471"/>
      <c r="J18" s="450"/>
      <c r="K18" s="450"/>
      <c r="L18" s="541"/>
      <c r="N18"/>
      <c r="O18"/>
      <c r="P18"/>
      <c r="Q18"/>
      <c r="R18"/>
      <c r="S18"/>
      <c r="T18"/>
    </row>
    <row r="19" spans="1:20" ht="21" customHeight="1">
      <c r="B19" s="1431"/>
      <c r="C19" s="1431"/>
      <c r="D19" s="1432"/>
      <c r="E19" s="450"/>
      <c r="F19" s="529"/>
      <c r="G19" s="450"/>
      <c r="H19" s="450"/>
      <c r="I19" s="471"/>
      <c r="J19" s="450"/>
      <c r="K19" s="450"/>
      <c r="L19" s="541"/>
      <c r="N19"/>
      <c r="O19"/>
      <c r="P19"/>
      <c r="Q19"/>
      <c r="R19"/>
      <c r="S19"/>
      <c r="T19"/>
    </row>
    <row r="20" spans="1:20" ht="21" customHeight="1">
      <c r="B20" s="1431"/>
      <c r="C20" s="1431"/>
      <c r="D20" s="1432"/>
      <c r="E20" s="450"/>
      <c r="F20" s="529"/>
      <c r="G20" s="450"/>
      <c r="H20" s="450"/>
      <c r="I20" s="471"/>
      <c r="J20" s="450"/>
      <c r="K20" s="450"/>
      <c r="L20" s="541"/>
      <c r="N20"/>
      <c r="O20"/>
      <c r="P20"/>
      <c r="Q20"/>
      <c r="R20"/>
      <c r="S20"/>
      <c r="T20"/>
    </row>
    <row r="21" spans="1:20" ht="21" customHeight="1">
      <c r="B21" s="1431"/>
      <c r="C21" s="1431"/>
      <c r="D21" s="1432"/>
      <c r="E21" s="450"/>
      <c r="F21" s="529"/>
      <c r="G21" s="450"/>
      <c r="H21" s="450"/>
      <c r="I21" s="471"/>
      <c r="J21" s="450"/>
      <c r="K21" s="450"/>
      <c r="L21" s="541"/>
      <c r="N21"/>
      <c r="O21"/>
      <c r="P21"/>
      <c r="Q21"/>
      <c r="R21"/>
      <c r="S21"/>
      <c r="T21"/>
    </row>
    <row r="22" spans="1:20" ht="21" customHeight="1">
      <c r="B22" s="1431"/>
      <c r="C22" s="1431"/>
      <c r="D22" s="1432"/>
      <c r="E22" s="450"/>
      <c r="F22" s="529"/>
      <c r="G22" s="450"/>
      <c r="H22" s="450"/>
      <c r="I22" s="471"/>
      <c r="J22" s="450"/>
      <c r="K22" s="450"/>
      <c r="L22" s="541"/>
      <c r="N22"/>
      <c r="O22"/>
      <c r="P22"/>
      <c r="Q22"/>
      <c r="R22"/>
      <c r="S22"/>
      <c r="T22"/>
    </row>
    <row r="23" spans="1:20" ht="21" customHeight="1" thickBot="1">
      <c r="B23" s="401"/>
      <c r="C23" s="311"/>
      <c r="D23" s="380"/>
      <c r="E23" s="785">
        <f>SUM(E9:E22)</f>
        <v>0</v>
      </c>
      <c r="F23" s="316"/>
      <c r="G23" s="785">
        <f>SUM(G9:G22)</f>
        <v>0</v>
      </c>
      <c r="H23" s="785"/>
      <c r="I23" s="785"/>
      <c r="J23" s="785">
        <f>SUM(J9:J22)</f>
        <v>0</v>
      </c>
      <c r="K23" s="785">
        <f>SUM(K9:K22)</f>
        <v>0</v>
      </c>
      <c r="L23" s="314"/>
      <c r="N23"/>
      <c r="O23"/>
      <c r="P23"/>
      <c r="Q23"/>
      <c r="R23"/>
      <c r="S23"/>
      <c r="T23"/>
    </row>
    <row r="24" spans="1:20" ht="13.5" customHeight="1" thickTop="1">
      <c r="B24" s="856" t="s">
        <v>40</v>
      </c>
      <c r="C24" s="392"/>
      <c r="D24" s="857"/>
      <c r="J24" s="347"/>
      <c r="K24" s="347"/>
    </row>
    <row r="25" spans="1:20" ht="13.5" customHeight="1">
      <c r="B25" s="856" t="s">
        <v>549</v>
      </c>
      <c r="C25" s="392"/>
      <c r="D25" s="857"/>
    </row>
    <row r="26" spans="1:20" ht="13.5" customHeight="1">
      <c r="B26" s="856"/>
      <c r="C26" s="392" t="str">
        <f>"Utility Assessment Notes with an original date of issue of "&amp;IF('KEY INPUTS'!C42="State Fiscal Year","June 30, "&amp;'KEY INPUTS'!D33-2&amp;"","December 31, "&amp;'KEY INPUTS'!D34-2&amp;"")&amp;" or prior must be appropriated in full in the "&amp;IF('KEY INPUTS'!C42="State Fiscal Year","FY "&amp;'KEY INPUTS'!D33+1&amp;"",'KEY INPUTS'!D33+1)&amp;" Dedicated Utility Assessment Budget or written intent of"</f>
        <v>Utility Assessment Notes with an original date of issue of December 31, 2022 or prior must be appropriated in full in the 2026 Dedicated Utility Assessment Budget or written intent of</v>
      </c>
      <c r="D26" s="857"/>
    </row>
    <row r="27" spans="1:20" ht="13.5" customHeight="1">
      <c r="B27" s="856"/>
      <c r="C27" s="392"/>
      <c r="D27" s="858" t="s">
        <v>502</v>
      </c>
    </row>
    <row r="28" spans="1:20" ht="13.5" customHeight="1">
      <c r="B28" s="856"/>
      <c r="C28" s="392" t="s">
        <v>302</v>
      </c>
      <c r="D28" s="857"/>
      <c r="J28" s="385"/>
    </row>
    <row r="29" spans="1:20">
      <c r="B29" s="400"/>
      <c r="C29" s="309"/>
      <c r="D29" s="309"/>
    </row>
  </sheetData>
  <sheetProtection algorithmName="SHA-512" hashValue="lfGTuWEODAYVeCOapiiUj6k4Qoxisvs/vPRvnxMjlMRBGR8wyASn10qk65m9faF6Vn3L1UV365wbbKeKkP6YqA==" saltValue="PeI5rx2WyhikHTOjI4gluA==" spinCount="100000" sheet="1" objects="1" scenarios="1"/>
  <mergeCells count="20">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s>
  <pageMargins left="0.25" right="0.25" top="0.5" bottom="0.5" header="0.25" footer="0.25"/>
  <pageSetup paperSize="5" orientation="landscape" r:id="rId1"/>
  <headerFooter alignWithMargins="0"/>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6855D-6173-47FE-B2BF-DF4DCF68E67D}">
  <sheetPr codeName="Sheet285">
    <tabColor theme="3" tint="0.79998168889431442"/>
  </sheetPr>
  <dimension ref="A2:R27"/>
  <sheetViews>
    <sheetView zoomScaleNormal="100" zoomScaleSheetLayoutView="80" workbookViewId="0">
      <selection activeCell="O11" sqref="O11"/>
    </sheetView>
  </sheetViews>
  <sheetFormatPr defaultColWidth="9.109375" defaultRowHeight="13.2"/>
  <cols>
    <col min="1" max="1" width="5.6640625" style="267" customWidth="1"/>
    <col min="2" max="3" width="4.88671875" style="267" customWidth="1"/>
    <col min="4" max="4" width="35.88671875" style="267" customWidth="1"/>
    <col min="5" max="6" width="15.6640625" style="267" customWidth="1"/>
    <col min="7" max="9" width="30.6640625" style="267" customWidth="1"/>
    <col min="10" max="16384" width="9.109375" style="267"/>
  </cols>
  <sheetData>
    <row r="2" spans="1:18" ht="20.399999999999999">
      <c r="B2" s="1363" t="str">
        <f>"SCHEDULE  OF  CAPITAL  LEASE  PROGRAM  OBLIGATIONS "&amp;UPPER('KEY INPUTS'!D59)&amp;"  UTILITY"</f>
        <v>SCHEDULE  OF  CAPITAL  LEASE  PROGRAM  OBLIGATIONS   UTILITY</v>
      </c>
      <c r="C2" s="1363"/>
      <c r="D2" s="1363"/>
      <c r="E2" s="1363"/>
      <c r="F2" s="1363"/>
      <c r="G2" s="1363"/>
      <c r="H2" s="1363"/>
      <c r="I2" s="1363"/>
    </row>
    <row r="3" spans="1:18" ht="21" thickBot="1">
      <c r="B3" s="1363"/>
      <c r="C3" s="1363"/>
      <c r="D3" s="1363"/>
      <c r="E3" s="1363"/>
      <c r="F3" s="1363"/>
      <c r="G3" s="1363"/>
      <c r="H3" s="1363"/>
      <c r="I3" s="1363"/>
    </row>
    <row r="4" spans="1:18" ht="13.5" customHeight="1" thickTop="1">
      <c r="B4" s="1433"/>
      <c r="C4" s="1433"/>
      <c r="D4" s="1433"/>
      <c r="E4" s="1433"/>
      <c r="F4" s="1434"/>
      <c r="G4" s="859"/>
      <c r="H4" s="323"/>
      <c r="I4" s="847"/>
    </row>
    <row r="5" spans="1:18" ht="13.5" customHeight="1">
      <c r="E5" s="302"/>
      <c r="F5" s="302"/>
      <c r="G5" s="319" t="s">
        <v>414</v>
      </c>
      <c r="H5" s="1423" t="str">
        <f>IF('KEY INPUTS'!C42="State Fiscal Year","Fiscal Year "&amp;'KEY INPUTS'!D33+1&amp;"",'KEY INPUTS'!D34+1)&amp;" Budget Requirements"</f>
        <v>2025 Budget Requirements</v>
      </c>
      <c r="I5" s="1437"/>
      <c r="J5" s="592"/>
    </row>
    <row r="6" spans="1:18" ht="13.5" customHeight="1">
      <c r="C6" s="1352" t="s">
        <v>413</v>
      </c>
      <c r="D6" s="1352"/>
      <c r="E6" s="302"/>
      <c r="F6" s="302"/>
      <c r="G6" s="319" t="s">
        <v>430</v>
      </c>
      <c r="H6" s="1438"/>
      <c r="I6" s="1439"/>
      <c r="J6" s="592"/>
    </row>
    <row r="7" spans="1:18" ht="13.5" customHeight="1">
      <c r="E7" s="302"/>
      <c r="F7" s="860"/>
      <c r="G7" s="861" t="str">
        <f>IF('KEY INPUTS'!C42 = "State Fiscal Year", 'KEY INPUTS'!F47,'KEY INPUTS'!D47)</f>
        <v>Dec. 31, 2024</v>
      </c>
      <c r="H7" s="320" t="s">
        <v>3170</v>
      </c>
      <c r="I7" s="321" t="s">
        <v>431</v>
      </c>
      <c r="L7"/>
      <c r="M7"/>
      <c r="N7"/>
      <c r="O7"/>
      <c r="P7"/>
      <c r="Q7"/>
      <c r="R7"/>
    </row>
    <row r="8" spans="1:18" ht="13.5" customHeight="1" thickBot="1">
      <c r="B8" s="318"/>
      <c r="C8" s="318"/>
      <c r="D8" s="318"/>
      <c r="E8" s="318"/>
      <c r="F8" s="404"/>
      <c r="G8" s="862"/>
      <c r="H8" s="317"/>
      <c r="I8" s="863"/>
      <c r="L8"/>
      <c r="M8"/>
      <c r="N8"/>
      <c r="O8"/>
      <c r="P8"/>
      <c r="Q8"/>
      <c r="R8"/>
    </row>
    <row r="9" spans="1:18" ht="21" customHeight="1" thickTop="1">
      <c r="B9" s="1477"/>
      <c r="C9" s="1477"/>
      <c r="D9" s="1477"/>
      <c r="E9" s="1477"/>
      <c r="F9" s="1478"/>
      <c r="G9" s="607"/>
      <c r="H9" s="454"/>
      <c r="I9" s="608"/>
      <c r="L9" s="294"/>
      <c r="M9"/>
      <c r="N9"/>
      <c r="O9"/>
      <c r="P9"/>
      <c r="Q9"/>
      <c r="R9"/>
    </row>
    <row r="10" spans="1:18" ht="21" customHeight="1">
      <c r="B10" s="1475"/>
      <c r="C10" s="1475"/>
      <c r="D10" s="1475"/>
      <c r="E10" s="1475"/>
      <c r="F10" s="1476"/>
      <c r="G10" s="479"/>
      <c r="H10" s="450"/>
      <c r="I10" s="451"/>
      <c r="L10"/>
      <c r="M10"/>
      <c r="N10"/>
      <c r="O10"/>
      <c r="P10"/>
      <c r="Q10"/>
      <c r="R10"/>
    </row>
    <row r="11" spans="1:18" ht="21" customHeight="1">
      <c r="B11" s="1475"/>
      <c r="C11" s="1475"/>
      <c r="D11" s="1475"/>
      <c r="E11" s="1475"/>
      <c r="F11" s="1476"/>
      <c r="G11" s="479"/>
      <c r="H11" s="450"/>
      <c r="I11" s="451"/>
      <c r="L11"/>
      <c r="M11"/>
      <c r="N11"/>
      <c r="O11"/>
      <c r="P11"/>
      <c r="Q11"/>
      <c r="R11"/>
    </row>
    <row r="12" spans="1:18" ht="21" customHeight="1">
      <c r="B12" s="1475"/>
      <c r="C12" s="1475"/>
      <c r="D12" s="1475"/>
      <c r="E12" s="1475"/>
      <c r="F12" s="1476"/>
      <c r="G12" s="479"/>
      <c r="H12" s="450"/>
      <c r="I12" s="451"/>
      <c r="L12"/>
      <c r="M12"/>
      <c r="N12"/>
      <c r="O12"/>
      <c r="P12"/>
      <c r="Q12"/>
      <c r="R12"/>
    </row>
    <row r="13" spans="1:18" ht="21" customHeight="1">
      <c r="B13" s="1475"/>
      <c r="C13" s="1475"/>
      <c r="D13" s="1475"/>
      <c r="E13" s="1475"/>
      <c r="F13" s="1476"/>
      <c r="G13" s="479"/>
      <c r="H13" s="450"/>
      <c r="I13" s="451"/>
      <c r="L13"/>
      <c r="M13"/>
      <c r="N13"/>
      <c r="O13"/>
      <c r="P13"/>
      <c r="Q13"/>
      <c r="R13"/>
    </row>
    <row r="14" spans="1:18" ht="21" customHeight="1">
      <c r="B14" s="1475"/>
      <c r="C14" s="1475"/>
      <c r="D14" s="1475"/>
      <c r="E14" s="1475"/>
      <c r="F14" s="1476"/>
      <c r="G14" s="480"/>
      <c r="H14" s="450"/>
      <c r="I14" s="451"/>
      <c r="L14"/>
      <c r="M14"/>
      <c r="N14"/>
      <c r="O14"/>
      <c r="P14"/>
      <c r="Q14"/>
      <c r="R14"/>
    </row>
    <row r="15" spans="1:18" ht="21" customHeight="1">
      <c r="A15" s="1367" t="s">
        <v>3169</v>
      </c>
      <c r="B15" s="1475"/>
      <c r="C15" s="1475"/>
      <c r="D15" s="1475"/>
      <c r="E15" s="1475"/>
      <c r="F15" s="1476"/>
      <c r="G15" s="479"/>
      <c r="H15" s="450"/>
      <c r="I15" s="451"/>
      <c r="L15"/>
      <c r="M15"/>
      <c r="N15"/>
      <c r="O15"/>
      <c r="P15"/>
      <c r="Q15"/>
      <c r="R15"/>
    </row>
    <row r="16" spans="1:18" ht="21" customHeight="1">
      <c r="A16" s="1367"/>
      <c r="B16" s="1475"/>
      <c r="C16" s="1475"/>
      <c r="D16" s="1475"/>
      <c r="E16" s="1475"/>
      <c r="F16" s="1476"/>
      <c r="G16" s="479"/>
      <c r="H16" s="450"/>
      <c r="I16" s="451"/>
      <c r="L16"/>
      <c r="M16"/>
      <c r="N16"/>
      <c r="O16"/>
      <c r="P16"/>
      <c r="Q16"/>
      <c r="R16"/>
    </row>
    <row r="17" spans="1:18" ht="21" customHeight="1">
      <c r="A17" s="1367"/>
      <c r="B17" s="1475"/>
      <c r="C17" s="1475"/>
      <c r="D17" s="1475"/>
      <c r="E17" s="1475"/>
      <c r="F17" s="1476"/>
      <c r="G17" s="479"/>
      <c r="H17" s="450"/>
      <c r="I17" s="451"/>
      <c r="L17"/>
      <c r="M17"/>
      <c r="N17"/>
      <c r="O17"/>
      <c r="P17"/>
      <c r="Q17"/>
      <c r="R17"/>
    </row>
    <row r="18" spans="1:18" ht="21" customHeight="1">
      <c r="A18" s="397"/>
      <c r="B18" s="1475"/>
      <c r="C18" s="1475"/>
      <c r="D18" s="1475"/>
      <c r="E18" s="1475"/>
      <c r="F18" s="1476"/>
      <c r="G18" s="479"/>
      <c r="H18" s="450"/>
      <c r="I18" s="451"/>
      <c r="L18"/>
      <c r="M18"/>
      <c r="N18"/>
      <c r="O18"/>
      <c r="P18"/>
      <c r="Q18"/>
      <c r="R18"/>
    </row>
    <row r="19" spans="1:18" ht="21" customHeight="1">
      <c r="B19" s="1475"/>
      <c r="C19" s="1475"/>
      <c r="D19" s="1475"/>
      <c r="E19" s="1475"/>
      <c r="F19" s="1476"/>
      <c r="G19" s="479"/>
      <c r="H19" s="450"/>
      <c r="I19" s="451"/>
      <c r="L19"/>
      <c r="M19"/>
      <c r="N19"/>
      <c r="O19"/>
      <c r="P19"/>
      <c r="Q19"/>
      <c r="R19"/>
    </row>
    <row r="20" spans="1:18" ht="21" customHeight="1">
      <c r="B20" s="1475"/>
      <c r="C20" s="1475"/>
      <c r="D20" s="1475"/>
      <c r="E20" s="1475"/>
      <c r="F20" s="1476"/>
      <c r="G20" s="479"/>
      <c r="H20" s="450"/>
      <c r="I20" s="451"/>
      <c r="L20"/>
      <c r="M20"/>
      <c r="N20"/>
      <c r="O20"/>
      <c r="P20"/>
      <c r="Q20"/>
      <c r="R20"/>
    </row>
    <row r="21" spans="1:18" ht="21" customHeight="1">
      <c r="B21" s="1475"/>
      <c r="C21" s="1475"/>
      <c r="D21" s="1475"/>
      <c r="E21" s="1475"/>
      <c r="F21" s="1476"/>
      <c r="G21" s="479"/>
      <c r="H21" s="450"/>
      <c r="I21" s="451"/>
      <c r="L21"/>
      <c r="M21"/>
      <c r="N21"/>
      <c r="O21"/>
      <c r="P21"/>
      <c r="Q21"/>
      <c r="R21"/>
    </row>
    <row r="22" spans="1:18" ht="21" customHeight="1" thickBot="1">
      <c r="B22" s="1475"/>
      <c r="C22" s="1475"/>
      <c r="D22" s="1475"/>
      <c r="E22" s="1475"/>
      <c r="F22" s="1476"/>
      <c r="G22" s="481"/>
      <c r="H22" s="475"/>
      <c r="I22" s="482"/>
      <c r="L22"/>
      <c r="M22"/>
      <c r="N22"/>
      <c r="O22"/>
      <c r="P22"/>
      <c r="Q22"/>
      <c r="R22"/>
    </row>
    <row r="23" spans="1:18" ht="21" customHeight="1" thickTop="1" thickBot="1">
      <c r="B23" s="401"/>
      <c r="C23" s="311"/>
      <c r="D23" s="405" t="s">
        <v>137</v>
      </c>
      <c r="E23" s="746"/>
      <c r="F23" s="404"/>
      <c r="G23" s="911">
        <f>SUM(G9:G22)</f>
        <v>0</v>
      </c>
      <c r="H23" s="755">
        <f>SUM(H9:H22)</f>
        <v>0</v>
      </c>
      <c r="I23" s="797">
        <f>SUM(I9:I22)</f>
        <v>0</v>
      </c>
      <c r="L23"/>
      <c r="M23"/>
      <c r="N23"/>
      <c r="O23"/>
      <c r="P23"/>
      <c r="Q23"/>
      <c r="R23"/>
    </row>
    <row r="24" spans="1:18" ht="13.5" customHeight="1" thickTop="1">
      <c r="B24" s="403"/>
      <c r="C24" s="309"/>
      <c r="D24" s="393"/>
      <c r="H24" s="347"/>
      <c r="I24" s="347"/>
    </row>
    <row r="25" spans="1:18" ht="13.5" customHeight="1">
      <c r="B25" s="403"/>
      <c r="C25" s="309"/>
      <c r="D25" s="393"/>
    </row>
    <row r="26" spans="1:18" ht="13.5" customHeight="1">
      <c r="B26" s="403"/>
      <c r="C26" s="309"/>
      <c r="D26" s="393"/>
      <c r="H26" s="385"/>
    </row>
    <row r="27" spans="1:18">
      <c r="B27" s="400"/>
      <c r="C27" s="309"/>
      <c r="D27" s="309"/>
    </row>
  </sheetData>
  <sheetProtection algorithmName="SHA-512" hashValue="Os6FEZcIGQlp3IQqw7n9IM/baV0h9cZVnYTg1nNqgYKhPMlPnX+ZadHWsLsJags2QIyztw4B2Rlr8Dp+7kELsQ==" saltValue="d2bgiopSyTqlKT0YLKl76g==" spinCount="100000" sheet="1" objects="1" scenarios="1"/>
  <mergeCells count="20">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s>
  <pageMargins left="0.25" right="0.25" top="0.5" bottom="0.5" header="0.25" footer="0.25"/>
  <pageSetup paperSize="5"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C00000"/>
  </sheetPr>
  <dimension ref="A1:AB593"/>
  <sheetViews>
    <sheetView topLeftCell="C27" zoomScaleNormal="100" workbookViewId="0">
      <selection activeCell="D39" sqref="D39"/>
    </sheetView>
  </sheetViews>
  <sheetFormatPr defaultRowHeight="13.2"/>
  <cols>
    <col min="1" max="2" width="4.6640625" hidden="1" customWidth="1"/>
    <col min="3" max="3" width="28.88671875" bestFit="1" customWidth="1"/>
    <col min="4" max="4" width="54.109375" customWidth="1"/>
    <col min="5" max="5" width="10.88671875" bestFit="1" customWidth="1"/>
    <col min="6" max="6" width="55.5546875" customWidth="1"/>
    <col min="8" max="8" width="55.6640625" customWidth="1"/>
    <col min="9" max="9" width="14.5546875" customWidth="1"/>
    <col min="17" max="18" width="9.109375" hidden="1" customWidth="1"/>
    <col min="19" max="19" width="27" hidden="1" customWidth="1"/>
    <col min="20" max="20" width="21.5546875" hidden="1" customWidth="1"/>
    <col min="21" max="21" width="34.6640625" hidden="1" customWidth="1"/>
    <col min="22" max="22" width="29.44140625" hidden="1" customWidth="1"/>
    <col min="23" max="23" width="13.109375" hidden="1" customWidth="1"/>
    <col min="24" max="24" width="19" hidden="1" customWidth="1"/>
    <col min="25" max="25" width="28.33203125" hidden="1" customWidth="1"/>
    <col min="26" max="26" width="20.5546875" hidden="1" customWidth="1"/>
    <col min="27" max="27" width="22.88671875" hidden="1" customWidth="1"/>
  </cols>
  <sheetData>
    <row r="1" spans="3:28" ht="13.8" thickBot="1"/>
    <row r="2" spans="3:28" ht="18" thickBot="1">
      <c r="C2" s="1140" t="s">
        <v>897</v>
      </c>
      <c r="D2" s="1141"/>
      <c r="E2" s="1141"/>
      <c r="F2" s="1142"/>
    </row>
    <row r="3" spans="3:28" ht="16.2" thickBot="1">
      <c r="C3" s="1137" t="s">
        <v>3671</v>
      </c>
      <c r="D3" s="1138"/>
      <c r="E3" s="1138"/>
      <c r="F3" s="1139"/>
      <c r="AB3" s="957" t="s">
        <v>3484</v>
      </c>
    </row>
    <row r="4" spans="3:28">
      <c r="C4" s="1097" t="s">
        <v>3651</v>
      </c>
      <c r="D4" s="112"/>
      <c r="F4" s="165"/>
    </row>
    <row r="5" spans="3:28" ht="13.5" customHeight="1" thickBot="1">
      <c r="C5" s="1098" t="s">
        <v>3650</v>
      </c>
      <c r="D5" s="112"/>
      <c r="F5" s="165"/>
    </row>
    <row r="6" spans="3:28" ht="13.8" thickBot="1">
      <c r="C6" s="1061" t="s">
        <v>3583</v>
      </c>
      <c r="D6" s="1134" t="s">
        <v>683</v>
      </c>
      <c r="E6" s="1135"/>
      <c r="F6" s="1089" t="s">
        <v>3585</v>
      </c>
      <c r="R6" s="239" t="s">
        <v>3101</v>
      </c>
      <c r="S6" s="112" t="s">
        <v>2583</v>
      </c>
      <c r="T6" s="112" t="s">
        <v>347</v>
      </c>
      <c r="U6" s="112" t="s">
        <v>2582</v>
      </c>
      <c r="V6" s="112" t="s">
        <v>684</v>
      </c>
      <c r="W6" s="112" t="s">
        <v>2585</v>
      </c>
      <c r="X6" s="112" t="s">
        <v>2584</v>
      </c>
      <c r="Y6" s="112" t="s">
        <v>3129</v>
      </c>
      <c r="Z6" s="112" t="s">
        <v>686</v>
      </c>
      <c r="AA6" s="112" t="s">
        <v>3649</v>
      </c>
    </row>
    <row r="7" spans="3:28" ht="14.4" thickBot="1">
      <c r="C7" s="164"/>
      <c r="F7" s="1060" t="s">
        <v>346</v>
      </c>
      <c r="Q7" s="296">
        <v>1</v>
      </c>
      <c r="R7" s="684" t="s">
        <v>3540</v>
      </c>
      <c r="S7" s="297" t="s">
        <v>342</v>
      </c>
      <c r="T7" s="298" t="s">
        <v>343</v>
      </c>
      <c r="U7" s="296" t="s">
        <v>3586</v>
      </c>
      <c r="V7" s="296" t="s">
        <v>3587</v>
      </c>
      <c r="W7" s="297" t="s">
        <v>342</v>
      </c>
      <c r="X7" s="239"/>
      <c r="Y7" s="239"/>
      <c r="AA7" s="299"/>
    </row>
    <row r="8" spans="3:28" ht="20.25" customHeight="1">
      <c r="C8" s="1009" t="s">
        <v>896</v>
      </c>
      <c r="D8" s="1018">
        <v>309</v>
      </c>
      <c r="E8" s="1096" t="s">
        <v>3645</v>
      </c>
      <c r="F8" s="165"/>
      <c r="Q8" s="296">
        <v>2</v>
      </c>
      <c r="R8" s="297" t="s">
        <v>898</v>
      </c>
      <c r="S8" s="297" t="s">
        <v>899</v>
      </c>
      <c r="T8" s="298" t="s">
        <v>900</v>
      </c>
      <c r="U8" s="296" t="s">
        <v>901</v>
      </c>
      <c r="V8" s="296" t="s">
        <v>899</v>
      </c>
      <c r="W8" s="297" t="s">
        <v>2834</v>
      </c>
      <c r="X8" s="239" t="s">
        <v>3088</v>
      </c>
      <c r="Y8" s="239" t="s">
        <v>3124</v>
      </c>
      <c r="Z8" t="s">
        <v>3105</v>
      </c>
      <c r="AA8" s="299">
        <v>19329</v>
      </c>
    </row>
    <row r="9" spans="3:28" ht="13.8">
      <c r="C9" s="1005" t="s">
        <v>3590</v>
      </c>
      <c r="D9" s="1019" t="str">
        <f>UPPER(VLOOKUP($D$8,$Q$7:$X$593,8,FALSE)&amp;" Of "&amp;VLOOKUP($D$8,$Q$7:$X$593,7,FALSE))</f>
        <v>BOROUGH OF MILFORD</v>
      </c>
      <c r="F9" s="165"/>
      <c r="Q9" s="296">
        <f>Q8+1</f>
        <v>3</v>
      </c>
      <c r="R9" s="297" t="s">
        <v>902</v>
      </c>
      <c r="S9" s="297" t="s">
        <v>903</v>
      </c>
      <c r="T9" s="298" t="s">
        <v>904</v>
      </c>
      <c r="U9" s="296" t="s">
        <v>905</v>
      </c>
      <c r="V9" s="296" t="s">
        <v>3033</v>
      </c>
      <c r="W9" s="297" t="s">
        <v>3033</v>
      </c>
      <c r="X9" s="239" t="s">
        <v>3090</v>
      </c>
      <c r="Y9" s="239" t="s">
        <v>3124</v>
      </c>
      <c r="Z9" t="s">
        <v>3106</v>
      </c>
      <c r="AA9" s="299">
        <v>9137</v>
      </c>
    </row>
    <row r="10" spans="3:28" ht="13.8">
      <c r="C10" s="1005" t="s">
        <v>3429</v>
      </c>
      <c r="D10" s="1020" t="str">
        <f>UPPER(VLOOKUP($D$8,$Q$7:$X$593,4,FALSE))</f>
        <v>HUNTERDON</v>
      </c>
      <c r="F10" s="165"/>
      <c r="Q10" s="296">
        <f t="shared" ref="Q10:Q74" si="0">Q9+1</f>
        <v>4</v>
      </c>
      <c r="R10" s="297" t="s">
        <v>3095</v>
      </c>
      <c r="S10" s="297" t="s">
        <v>3097</v>
      </c>
      <c r="T10" s="298" t="s">
        <v>1025</v>
      </c>
      <c r="U10" s="296" t="str">
        <f>S10&amp;", "&amp;T10&amp;" County"</f>
        <v>Alexandria Township, Hunterdon County</v>
      </c>
      <c r="V10" s="296" t="s">
        <v>3097</v>
      </c>
      <c r="W10" s="297" t="s">
        <v>3099</v>
      </c>
      <c r="X10" s="239" t="s">
        <v>3088</v>
      </c>
      <c r="Y10" s="239" t="s">
        <v>3125</v>
      </c>
      <c r="Z10" t="s">
        <v>3107</v>
      </c>
      <c r="AA10" s="299">
        <v>4809</v>
      </c>
    </row>
    <row r="11" spans="3:28" ht="13.8">
      <c r="C11" s="1005" t="s">
        <v>3430</v>
      </c>
      <c r="D11" s="1020" t="str">
        <f>UPPER(VLOOKUP($D$8,$Q$7:$X$593,7,FALSE))</f>
        <v>MILFORD</v>
      </c>
      <c r="F11" s="165"/>
      <c r="Q11" s="296">
        <f t="shared" si="0"/>
        <v>5</v>
      </c>
      <c r="R11" s="297" t="s">
        <v>3096</v>
      </c>
      <c r="S11" s="297" t="s">
        <v>3098</v>
      </c>
      <c r="T11" s="298" t="s">
        <v>922</v>
      </c>
      <c r="U11" s="296" t="str">
        <f>S11&amp;", "&amp;T11&amp;" County"</f>
        <v>Allamuchy Township, Warren County</v>
      </c>
      <c r="V11" s="296" t="s">
        <v>3098</v>
      </c>
      <c r="W11" s="297" t="s">
        <v>3100</v>
      </c>
      <c r="X11" s="239" t="s">
        <v>3088</v>
      </c>
      <c r="Y11" s="239" t="s">
        <v>3124</v>
      </c>
      <c r="Z11" t="s">
        <v>3108</v>
      </c>
      <c r="AA11" s="299">
        <v>5335</v>
      </c>
    </row>
    <row r="12" spans="3:28" ht="13.8">
      <c r="C12" s="164" t="s">
        <v>685</v>
      </c>
      <c r="D12" s="1020" t="str">
        <f>UPPER(VLOOKUP($D$8,$Q$7:$X$593,8,FALSE))</f>
        <v>BOROUGH</v>
      </c>
      <c r="F12" s="165"/>
      <c r="Q12" s="296">
        <f t="shared" si="0"/>
        <v>6</v>
      </c>
      <c r="R12" s="297" t="s">
        <v>906</v>
      </c>
      <c r="S12" s="297" t="s">
        <v>907</v>
      </c>
      <c r="T12" s="298" t="s">
        <v>908</v>
      </c>
      <c r="U12" s="296" t="s">
        <v>909</v>
      </c>
      <c r="V12" s="296" t="s">
        <v>2586</v>
      </c>
      <c r="W12" s="297" t="s">
        <v>2586</v>
      </c>
      <c r="X12" s="239" t="s">
        <v>3089</v>
      </c>
      <c r="Y12" s="239" t="s">
        <v>3124</v>
      </c>
      <c r="Z12" t="s">
        <v>3105</v>
      </c>
      <c r="AA12" s="299">
        <v>6848</v>
      </c>
    </row>
    <row r="13" spans="3:28" ht="13.8">
      <c r="C13" s="164" t="s">
        <v>833</v>
      </c>
      <c r="D13" s="1021" t="s">
        <v>3802</v>
      </c>
      <c r="F13" s="165"/>
      <c r="Q13" s="296">
        <f t="shared" si="0"/>
        <v>7</v>
      </c>
      <c r="R13" s="297" t="s">
        <v>910</v>
      </c>
      <c r="S13" s="297" t="s">
        <v>911</v>
      </c>
      <c r="T13" s="298" t="s">
        <v>900</v>
      </c>
      <c r="U13" s="296" t="s">
        <v>912</v>
      </c>
      <c r="V13" s="296" t="s">
        <v>2587</v>
      </c>
      <c r="W13" s="297" t="s">
        <v>2587</v>
      </c>
      <c r="X13" s="239" t="s">
        <v>3089</v>
      </c>
      <c r="Y13" s="239" t="s">
        <v>3126</v>
      </c>
      <c r="Z13" t="s">
        <v>3109</v>
      </c>
      <c r="AA13" s="299">
        <v>472</v>
      </c>
    </row>
    <row r="14" spans="3:28" ht="14.4" thickBot="1">
      <c r="C14" s="166" t="s">
        <v>686</v>
      </c>
      <c r="D14" s="1022" t="str">
        <f>UPPER(VLOOKUP($D$8,$Q$7:$Z$593,9,FALSE))</f>
        <v>COUNCIL MEMBERS</v>
      </c>
      <c r="F14" s="165"/>
      <c r="Q14" s="296">
        <f t="shared" si="0"/>
        <v>8</v>
      </c>
      <c r="R14" s="297" t="s">
        <v>913</v>
      </c>
      <c r="S14" s="297" t="s">
        <v>914</v>
      </c>
      <c r="T14" s="298" t="s">
        <v>900</v>
      </c>
      <c r="U14" s="296" t="s">
        <v>915</v>
      </c>
      <c r="V14" s="296" t="s">
        <v>2588</v>
      </c>
      <c r="W14" s="297" t="s">
        <v>2588</v>
      </c>
      <c r="X14" s="239" t="s">
        <v>3089</v>
      </c>
      <c r="Y14" s="239" t="s">
        <v>3124</v>
      </c>
      <c r="Z14" t="s">
        <v>3105</v>
      </c>
      <c r="AA14" s="299">
        <v>1734</v>
      </c>
    </row>
    <row r="15" spans="3:28" ht="14.4" thickBot="1">
      <c r="C15" s="164"/>
      <c r="F15" s="165"/>
      <c r="Q15" s="296">
        <f t="shared" si="0"/>
        <v>9</v>
      </c>
      <c r="R15" s="297" t="s">
        <v>916</v>
      </c>
      <c r="S15" s="297" t="s">
        <v>917</v>
      </c>
      <c r="T15" s="298" t="s">
        <v>918</v>
      </c>
      <c r="U15" s="296" t="s">
        <v>919</v>
      </c>
      <c r="V15" s="296" t="s">
        <v>917</v>
      </c>
      <c r="W15" s="297" t="s">
        <v>2835</v>
      </c>
      <c r="X15" s="239" t="s">
        <v>3088</v>
      </c>
      <c r="Y15" s="239" t="s">
        <v>3125</v>
      </c>
      <c r="Z15" t="s">
        <v>3107</v>
      </c>
      <c r="AA15" s="299">
        <v>3283</v>
      </c>
    </row>
    <row r="16" spans="3:28" ht="13.8">
      <c r="C16" s="161" t="s">
        <v>54</v>
      </c>
      <c r="D16" s="1023" t="s">
        <v>3803</v>
      </c>
      <c r="F16" s="165"/>
      <c r="Q16" s="296">
        <f t="shared" si="0"/>
        <v>10</v>
      </c>
      <c r="R16" s="297" t="s">
        <v>920</v>
      </c>
      <c r="S16" s="297" t="s">
        <v>921</v>
      </c>
      <c r="T16" s="298" t="s">
        <v>922</v>
      </c>
      <c r="U16" s="296" t="s">
        <v>923</v>
      </c>
      <c r="V16" s="296" t="s">
        <v>2589</v>
      </c>
      <c r="W16" s="297" t="s">
        <v>2589</v>
      </c>
      <c r="X16" s="239" t="s">
        <v>3089</v>
      </c>
      <c r="Y16" s="239" t="s">
        <v>3124</v>
      </c>
      <c r="Z16" t="s">
        <v>3105</v>
      </c>
      <c r="AA16" s="299">
        <v>2328</v>
      </c>
    </row>
    <row r="17" spans="3:27" ht="13.8">
      <c r="C17" s="164" t="s">
        <v>54</v>
      </c>
      <c r="D17" s="1021" t="s">
        <v>3804</v>
      </c>
      <c r="F17" s="165"/>
      <c r="Q17" s="296">
        <f t="shared" si="0"/>
        <v>11</v>
      </c>
      <c r="R17" s="297" t="s">
        <v>924</v>
      </c>
      <c r="S17" s="297" t="s">
        <v>925</v>
      </c>
      <c r="T17" s="298" t="s">
        <v>908</v>
      </c>
      <c r="U17" s="296" t="s">
        <v>926</v>
      </c>
      <c r="V17" s="296" t="s">
        <v>2590</v>
      </c>
      <c r="W17" s="297" t="s">
        <v>2590</v>
      </c>
      <c r="X17" s="239" t="s">
        <v>3089</v>
      </c>
      <c r="Y17" s="239" t="s">
        <v>3124</v>
      </c>
      <c r="Z17" t="s">
        <v>3105</v>
      </c>
      <c r="AA17" s="299">
        <v>1762</v>
      </c>
    </row>
    <row r="18" spans="3:27" ht="13.8">
      <c r="C18" s="164" t="s">
        <v>687</v>
      </c>
      <c r="D18" s="1021" t="s">
        <v>3805</v>
      </c>
      <c r="F18" s="165"/>
      <c r="Q18" s="296">
        <f t="shared" si="0"/>
        <v>12</v>
      </c>
      <c r="R18" s="297" t="s">
        <v>927</v>
      </c>
      <c r="S18" s="297" t="s">
        <v>928</v>
      </c>
      <c r="T18" s="298" t="s">
        <v>929</v>
      </c>
      <c r="U18" s="296" t="s">
        <v>930</v>
      </c>
      <c r="V18" s="296" t="s">
        <v>2591</v>
      </c>
      <c r="W18" s="297" t="s">
        <v>2591</v>
      </c>
      <c r="X18" s="239" t="s">
        <v>3089</v>
      </c>
      <c r="Y18" s="239" t="s">
        <v>3124</v>
      </c>
      <c r="Z18" t="s">
        <v>3105</v>
      </c>
      <c r="AA18" s="299">
        <v>595</v>
      </c>
    </row>
    <row r="19" spans="3:27" ht="14.4" thickBot="1">
      <c r="C19" s="166" t="s">
        <v>688</v>
      </c>
      <c r="D19" s="1024" t="s">
        <v>3806</v>
      </c>
      <c r="F19" s="165"/>
      <c r="Q19" s="296">
        <f t="shared" si="0"/>
        <v>13</v>
      </c>
      <c r="R19" s="297" t="s">
        <v>931</v>
      </c>
      <c r="S19" s="297" t="s">
        <v>932</v>
      </c>
      <c r="T19" s="298" t="s">
        <v>929</v>
      </c>
      <c r="U19" s="296" t="s">
        <v>933</v>
      </c>
      <c r="V19" s="296" t="s">
        <v>932</v>
      </c>
      <c r="W19" s="297" t="s">
        <v>2591</v>
      </c>
      <c r="X19" s="239" t="s">
        <v>3088</v>
      </c>
      <c r="Y19" s="239" t="s">
        <v>3125</v>
      </c>
      <c r="Z19" t="s">
        <v>3110</v>
      </c>
      <c r="AA19" s="299">
        <v>5996</v>
      </c>
    </row>
    <row r="20" spans="3:27" ht="14.4" thickBot="1">
      <c r="C20" s="164"/>
      <c r="E20" s="1037" t="s">
        <v>895</v>
      </c>
      <c r="F20" s="165"/>
      <c r="Q20" s="296">
        <f t="shared" si="0"/>
        <v>14</v>
      </c>
      <c r="R20" s="297" t="s">
        <v>934</v>
      </c>
      <c r="S20" s="297" t="s">
        <v>935</v>
      </c>
      <c r="T20" s="298" t="s">
        <v>900</v>
      </c>
      <c r="U20" s="296" t="s">
        <v>936</v>
      </c>
      <c r="V20" s="296" t="s">
        <v>3034</v>
      </c>
      <c r="W20" s="297" t="s">
        <v>3034</v>
      </c>
      <c r="X20" s="239" t="s">
        <v>3090</v>
      </c>
      <c r="Y20" s="239" t="s">
        <v>3124</v>
      </c>
      <c r="Z20" t="s">
        <v>3111</v>
      </c>
      <c r="AA20" s="299">
        <v>15188</v>
      </c>
    </row>
    <row r="21" spans="3:27" ht="13.8">
      <c r="C21" s="161" t="s">
        <v>124</v>
      </c>
      <c r="D21" s="1125" t="s">
        <v>3794</v>
      </c>
      <c r="E21" s="1127" t="s">
        <v>3809</v>
      </c>
      <c r="F21" s="165"/>
      <c r="Q21" s="296">
        <f t="shared" si="0"/>
        <v>15</v>
      </c>
      <c r="R21" s="297" t="s">
        <v>937</v>
      </c>
      <c r="S21" s="298" t="s">
        <v>938</v>
      </c>
      <c r="T21" s="298" t="s">
        <v>904</v>
      </c>
      <c r="U21" s="296" t="s">
        <v>939</v>
      </c>
      <c r="V21" s="296" t="s">
        <v>3083</v>
      </c>
      <c r="W21" s="298" t="s">
        <v>3083</v>
      </c>
      <c r="X21" s="239" t="s">
        <v>3090</v>
      </c>
      <c r="Y21" s="239" t="s">
        <v>3124</v>
      </c>
      <c r="Z21" t="s">
        <v>3112</v>
      </c>
      <c r="AA21" s="299">
        <v>38497</v>
      </c>
    </row>
    <row r="22" spans="3:27" ht="13.8">
      <c r="C22" s="164" t="s">
        <v>832</v>
      </c>
      <c r="D22" s="1126" t="s">
        <v>3807</v>
      </c>
      <c r="E22" s="165"/>
      <c r="F22" s="1058" t="s">
        <v>3261</v>
      </c>
      <c r="Q22" s="296">
        <f t="shared" si="0"/>
        <v>16</v>
      </c>
      <c r="R22" s="297" t="s">
        <v>940</v>
      </c>
      <c r="S22" s="297" t="s">
        <v>941</v>
      </c>
      <c r="T22" s="298" t="s">
        <v>900</v>
      </c>
      <c r="U22" s="296" t="s">
        <v>942</v>
      </c>
      <c r="V22" s="296" t="s">
        <v>2592</v>
      </c>
      <c r="W22" s="297" t="s">
        <v>2592</v>
      </c>
      <c r="X22" s="239" t="s">
        <v>3089</v>
      </c>
      <c r="Y22" s="239" t="s">
        <v>3124</v>
      </c>
      <c r="Z22" t="s">
        <v>3105</v>
      </c>
      <c r="AA22" s="299">
        <v>4414</v>
      </c>
    </row>
    <row r="23" spans="3:27" ht="14.4" thickBot="1">
      <c r="C23" s="166" t="s">
        <v>834</v>
      </c>
      <c r="D23" s="1025">
        <v>45657</v>
      </c>
      <c r="E23" s="168"/>
      <c r="F23" s="165"/>
      <c r="Q23" s="296">
        <f t="shared" si="0"/>
        <v>17</v>
      </c>
      <c r="R23" s="297" t="s">
        <v>943</v>
      </c>
      <c r="S23" s="297" t="s">
        <v>944</v>
      </c>
      <c r="T23" s="298" t="s">
        <v>945</v>
      </c>
      <c r="U23" s="296" t="s">
        <v>946</v>
      </c>
      <c r="V23" s="296" t="s">
        <v>2593</v>
      </c>
      <c r="W23" s="297" t="s">
        <v>2593</v>
      </c>
      <c r="X23" s="239" t="s">
        <v>3089</v>
      </c>
      <c r="Y23" s="239" t="s">
        <v>3126</v>
      </c>
      <c r="Z23" t="s">
        <v>3109</v>
      </c>
      <c r="AA23" s="299">
        <v>8707</v>
      </c>
    </row>
    <row r="24" spans="3:27" ht="14.4" thickBot="1">
      <c r="C24" s="164"/>
      <c r="F24" s="165"/>
      <c r="Q24" s="296">
        <f t="shared" si="0"/>
        <v>18</v>
      </c>
      <c r="R24" s="297" t="s">
        <v>947</v>
      </c>
      <c r="S24" s="297" t="s">
        <v>948</v>
      </c>
      <c r="T24" s="298" t="s">
        <v>945</v>
      </c>
      <c r="U24" s="296" t="s">
        <v>949</v>
      </c>
      <c r="V24" s="296" t="s">
        <v>2594</v>
      </c>
      <c r="W24" s="297" t="s">
        <v>2594</v>
      </c>
      <c r="X24" s="239" t="s">
        <v>3089</v>
      </c>
      <c r="Y24" s="239" t="s">
        <v>3124</v>
      </c>
      <c r="Z24" t="s">
        <v>3105</v>
      </c>
      <c r="AA24" s="299">
        <v>991</v>
      </c>
    </row>
    <row r="25" spans="3:27" ht="13.8">
      <c r="C25" s="1026" t="s">
        <v>879</v>
      </c>
      <c r="D25" s="1027" t="str">
        <f>"Balance - January 1, "&amp;D34</f>
        <v>Balance - January 1, 2024</v>
      </c>
      <c r="F25" s="1047" t="str">
        <f>"Balance - July 1, "&amp;D34&amp;""</f>
        <v>Balance - July 1, 2024</v>
      </c>
      <c r="Q25" s="296">
        <f t="shared" si="0"/>
        <v>19</v>
      </c>
      <c r="R25" s="297" t="s">
        <v>950</v>
      </c>
      <c r="S25" s="297" t="s">
        <v>951</v>
      </c>
      <c r="T25" s="298" t="s">
        <v>952</v>
      </c>
      <c r="U25" s="296" t="s">
        <v>953</v>
      </c>
      <c r="V25" s="296" t="s">
        <v>2595</v>
      </c>
      <c r="W25" s="297" t="s">
        <v>2595</v>
      </c>
      <c r="X25" s="239" t="s">
        <v>3089</v>
      </c>
      <c r="Y25" s="239" t="s">
        <v>3124</v>
      </c>
      <c r="Z25" t="s">
        <v>3113</v>
      </c>
      <c r="AA25" s="299">
        <v>1243</v>
      </c>
    </row>
    <row r="26" spans="3:27" ht="13.8">
      <c r="C26" s="1028"/>
      <c r="D26" s="1029" t="str">
        <f>"Balance - December 31, "&amp;D34</f>
        <v>Balance - December 31, 2024</v>
      </c>
      <c r="F26" s="1016" t="str">
        <f>"Balance - June 30, "&amp;D33&amp;""</f>
        <v>Balance - June 30, 2025</v>
      </c>
      <c r="Q26" s="296">
        <f t="shared" si="0"/>
        <v>20</v>
      </c>
      <c r="R26" s="297" t="s">
        <v>954</v>
      </c>
      <c r="S26" s="297" t="s">
        <v>955</v>
      </c>
      <c r="T26" s="298" t="s">
        <v>900</v>
      </c>
      <c r="U26" s="296" t="s">
        <v>956</v>
      </c>
      <c r="V26" s="296" t="s">
        <v>2596</v>
      </c>
      <c r="W26" s="297" t="s">
        <v>2596</v>
      </c>
      <c r="X26" s="239" t="s">
        <v>3089</v>
      </c>
      <c r="Y26" s="239" t="s">
        <v>3126</v>
      </c>
      <c r="Z26" t="s">
        <v>3109</v>
      </c>
      <c r="AA26" s="299">
        <v>1933</v>
      </c>
    </row>
    <row r="27" spans="3:27" ht="13.8">
      <c r="C27" s="1028"/>
      <c r="D27" s="1029" t="str">
        <f>"Outstanding - January 1, "&amp;D34</f>
        <v>Outstanding - January 1, 2024</v>
      </c>
      <c r="F27" s="1016" t="str">
        <f>"Outstanding - July 1, "&amp;D34&amp;""</f>
        <v>Outstanding - July 1, 2024</v>
      </c>
      <c r="Q27" s="296">
        <f t="shared" si="0"/>
        <v>21</v>
      </c>
      <c r="R27" s="297" t="s">
        <v>957</v>
      </c>
      <c r="S27" s="297" t="s">
        <v>958</v>
      </c>
      <c r="T27" s="298" t="s">
        <v>959</v>
      </c>
      <c r="U27" s="296" t="s">
        <v>960</v>
      </c>
      <c r="V27" s="296" t="s">
        <v>2597</v>
      </c>
      <c r="W27" s="297" t="s">
        <v>2597</v>
      </c>
      <c r="X27" s="239" t="s">
        <v>3089</v>
      </c>
      <c r="Y27" s="239" t="s">
        <v>3124</v>
      </c>
      <c r="Z27" t="s">
        <v>3105</v>
      </c>
      <c r="AA27" s="299">
        <v>640</v>
      </c>
    </row>
    <row r="28" spans="3:27" ht="13.8">
      <c r="C28" s="1028"/>
      <c r="D28" s="1029" t="str">
        <f>"Outstanding - December 31, "&amp;D34</f>
        <v>Outstanding - December 31, 2024</v>
      </c>
      <c r="F28" s="1016" t="str">
        <f>"Outstanding - June 30, "&amp;D33&amp;""</f>
        <v>Outstanding - June 30, 2025</v>
      </c>
      <c r="Q28" s="296">
        <f t="shared" si="0"/>
        <v>22</v>
      </c>
      <c r="R28" s="297" t="s">
        <v>961</v>
      </c>
      <c r="S28" s="297" t="s">
        <v>962</v>
      </c>
      <c r="T28" s="298" t="s">
        <v>959</v>
      </c>
      <c r="U28" s="296" t="s">
        <v>963</v>
      </c>
      <c r="V28" s="296" t="s">
        <v>962</v>
      </c>
      <c r="W28" s="297" t="s">
        <v>2836</v>
      </c>
      <c r="X28" s="239" t="s">
        <v>3088</v>
      </c>
      <c r="Y28" s="239" t="s">
        <v>3125</v>
      </c>
      <c r="Z28" t="s">
        <v>3110</v>
      </c>
      <c r="AA28" s="299">
        <v>24296</v>
      </c>
    </row>
    <row r="29" spans="3:27" ht="13.8">
      <c r="C29" s="1028" t="s">
        <v>880</v>
      </c>
      <c r="D29" s="1062">
        <f>DATE(D34,12,31)</f>
        <v>45657</v>
      </c>
      <c r="F29" s="1064">
        <f>DATE(D33,6,30)</f>
        <v>45838</v>
      </c>
      <c r="Q29" s="296">
        <f t="shared" si="0"/>
        <v>23</v>
      </c>
      <c r="R29" s="297" t="s">
        <v>964</v>
      </c>
      <c r="S29" s="297" t="s">
        <v>965</v>
      </c>
      <c r="T29" s="298" t="s">
        <v>945</v>
      </c>
      <c r="U29" s="296" t="s">
        <v>966</v>
      </c>
      <c r="V29" s="296" t="s">
        <v>2598</v>
      </c>
      <c r="W29" s="297" t="s">
        <v>2598</v>
      </c>
      <c r="X29" s="239" t="s">
        <v>3089</v>
      </c>
      <c r="Y29" s="239" t="s">
        <v>3124</v>
      </c>
      <c r="Z29" t="s">
        <v>3105</v>
      </c>
      <c r="AA29" s="299">
        <v>7075</v>
      </c>
    </row>
    <row r="30" spans="3:27" ht="14.4" thickBot="1">
      <c r="C30" s="1030" t="s">
        <v>3175</v>
      </c>
      <c r="D30" s="1063">
        <f>DATE(D33,12,31)</f>
        <v>46022</v>
      </c>
      <c r="F30" s="1065">
        <f>DATE(D33+1,6,30)</f>
        <v>46203</v>
      </c>
      <c r="Q30" s="296">
        <f t="shared" si="0"/>
        <v>24</v>
      </c>
      <c r="R30" s="297" t="s">
        <v>967</v>
      </c>
      <c r="S30" s="297" t="s">
        <v>968</v>
      </c>
      <c r="T30" s="298" t="s">
        <v>969</v>
      </c>
      <c r="U30" s="296" t="s">
        <v>970</v>
      </c>
      <c r="V30" s="296" t="s">
        <v>968</v>
      </c>
      <c r="W30" s="297" t="s">
        <v>2837</v>
      </c>
      <c r="X30" s="239" t="s">
        <v>3088</v>
      </c>
      <c r="Y30" s="239" t="s">
        <v>3126</v>
      </c>
      <c r="Z30" t="s">
        <v>3109</v>
      </c>
      <c r="AA30" s="299">
        <v>1355</v>
      </c>
    </row>
    <row r="31" spans="3:27" ht="13.8">
      <c r="C31" s="164"/>
      <c r="F31" s="165"/>
      <c r="Q31" s="296">
        <f t="shared" si="0"/>
        <v>25</v>
      </c>
      <c r="R31" s="297" t="s">
        <v>971</v>
      </c>
      <c r="S31" s="297" t="s">
        <v>972</v>
      </c>
      <c r="T31" s="298" t="s">
        <v>959</v>
      </c>
      <c r="U31" s="296" t="s">
        <v>973</v>
      </c>
      <c r="V31" s="296" t="s">
        <v>2599</v>
      </c>
      <c r="W31" s="297" t="s">
        <v>2599</v>
      </c>
      <c r="X31" s="239" t="s">
        <v>3089</v>
      </c>
      <c r="Y31" s="239" t="s">
        <v>3124</v>
      </c>
      <c r="Z31" t="s">
        <v>3105</v>
      </c>
      <c r="AA31" s="299">
        <v>930</v>
      </c>
    </row>
    <row r="32" spans="3:27" ht="14.4" thickBot="1">
      <c r="C32" s="164"/>
      <c r="F32" s="165"/>
      <c r="Q32" s="296">
        <f t="shared" si="0"/>
        <v>26</v>
      </c>
      <c r="R32" s="297" t="s">
        <v>974</v>
      </c>
      <c r="S32" s="297" t="s">
        <v>975</v>
      </c>
      <c r="T32" s="298" t="s">
        <v>976</v>
      </c>
      <c r="U32" s="296" t="s">
        <v>977</v>
      </c>
      <c r="V32" s="296" t="s">
        <v>3035</v>
      </c>
      <c r="W32" s="297" t="s">
        <v>3035</v>
      </c>
      <c r="X32" s="239" t="s">
        <v>3090</v>
      </c>
      <c r="Y32" s="239" t="s">
        <v>3124</v>
      </c>
      <c r="Z32" t="s">
        <v>3113</v>
      </c>
      <c r="AA32" s="299">
        <v>71686</v>
      </c>
    </row>
    <row r="33" spans="3:27" ht="13.8">
      <c r="C33" s="1026" t="s">
        <v>875</v>
      </c>
      <c r="D33" s="1031">
        <v>2025</v>
      </c>
      <c r="F33" s="165"/>
      <c r="Q33" s="296">
        <f t="shared" si="0"/>
        <v>27</v>
      </c>
      <c r="R33" s="297" t="s">
        <v>978</v>
      </c>
      <c r="S33" s="297" t="s">
        <v>979</v>
      </c>
      <c r="T33" s="298" t="s">
        <v>959</v>
      </c>
      <c r="U33" s="296" t="s">
        <v>980</v>
      </c>
      <c r="V33" s="296" t="s">
        <v>2600</v>
      </c>
      <c r="W33" s="297" t="s">
        <v>2600</v>
      </c>
      <c r="X33" s="239" t="s">
        <v>3089</v>
      </c>
      <c r="Y33" s="239" t="s">
        <v>3124</v>
      </c>
      <c r="Z33" t="s">
        <v>3111</v>
      </c>
      <c r="AA33" s="299">
        <v>1027</v>
      </c>
    </row>
    <row r="34" spans="3:27" ht="13.8">
      <c r="C34" s="1028" t="s">
        <v>876</v>
      </c>
      <c r="D34" s="1032">
        <f>D33-1</f>
        <v>2024</v>
      </c>
      <c r="F34" s="165"/>
      <c r="Q34" s="296">
        <f t="shared" si="0"/>
        <v>28</v>
      </c>
      <c r="R34" s="297" t="s">
        <v>981</v>
      </c>
      <c r="S34" s="297" t="s">
        <v>982</v>
      </c>
      <c r="T34" s="298" t="s">
        <v>959</v>
      </c>
      <c r="U34" s="296" t="s">
        <v>983</v>
      </c>
      <c r="V34" s="296" t="s">
        <v>2601</v>
      </c>
      <c r="W34" s="297" t="s">
        <v>2601</v>
      </c>
      <c r="X34" s="239" t="s">
        <v>3089</v>
      </c>
      <c r="Y34" s="239" t="s">
        <v>3124</v>
      </c>
      <c r="Z34" t="s">
        <v>3105</v>
      </c>
      <c r="AA34" s="299">
        <v>10859</v>
      </c>
    </row>
    <row r="35" spans="3:27" ht="14.4" thickBot="1">
      <c r="C35" s="1030" t="s">
        <v>877</v>
      </c>
      <c r="D35" s="1033">
        <f>D34-1</f>
        <v>2023</v>
      </c>
      <c r="F35" s="165"/>
      <c r="Q35" s="296">
        <f t="shared" si="0"/>
        <v>29</v>
      </c>
      <c r="R35" s="297" t="s">
        <v>984</v>
      </c>
      <c r="S35" s="297" t="s">
        <v>985</v>
      </c>
      <c r="T35" s="298" t="s">
        <v>986</v>
      </c>
      <c r="U35" s="296" t="s">
        <v>987</v>
      </c>
      <c r="V35" s="296" t="s">
        <v>985</v>
      </c>
      <c r="W35" s="297" t="s">
        <v>2838</v>
      </c>
      <c r="X35" s="239" t="s">
        <v>3088</v>
      </c>
      <c r="Y35" s="239" t="s">
        <v>3125</v>
      </c>
      <c r="Z35" t="s">
        <v>3110</v>
      </c>
      <c r="AA35" s="299">
        <v>8272</v>
      </c>
    </row>
    <row r="36" spans="3:27" ht="14.4" thickBot="1">
      <c r="C36" s="164"/>
      <c r="F36" s="165"/>
      <c r="Q36" s="296">
        <f t="shared" si="0"/>
        <v>30</v>
      </c>
      <c r="R36" s="297" t="s">
        <v>988</v>
      </c>
      <c r="S36" s="297" t="s">
        <v>989</v>
      </c>
      <c r="T36" s="298" t="s">
        <v>990</v>
      </c>
      <c r="U36" s="296" t="s">
        <v>991</v>
      </c>
      <c r="V36" s="296" t="s">
        <v>989</v>
      </c>
      <c r="W36" s="297" t="s">
        <v>2839</v>
      </c>
      <c r="X36" s="239" t="s">
        <v>3088</v>
      </c>
      <c r="Y36" s="239" t="s">
        <v>3124</v>
      </c>
      <c r="Z36" t="s">
        <v>3114</v>
      </c>
      <c r="AA36" s="299">
        <v>38222</v>
      </c>
    </row>
    <row r="37" spans="3:27" ht="13.8">
      <c r="C37" s="1009" t="s">
        <v>3589</v>
      </c>
      <c r="D37" s="1034">
        <f>VLOOKUP(D8,$Q$7:$AA$593,11,FALSE)</f>
        <v>1232</v>
      </c>
      <c r="F37" s="165"/>
      <c r="Q37" s="296">
        <f t="shared" si="0"/>
        <v>31</v>
      </c>
      <c r="R37" s="297" t="s">
        <v>992</v>
      </c>
      <c r="S37" s="297" t="s">
        <v>993</v>
      </c>
      <c r="T37" s="298" t="s">
        <v>945</v>
      </c>
      <c r="U37" s="296" t="s">
        <v>994</v>
      </c>
      <c r="V37" s="296" t="s">
        <v>2602</v>
      </c>
      <c r="W37" s="297" t="s">
        <v>2602</v>
      </c>
      <c r="X37" s="239" t="s">
        <v>3089</v>
      </c>
      <c r="Y37" s="239" t="s">
        <v>3124</v>
      </c>
      <c r="Z37" t="s">
        <v>3105</v>
      </c>
      <c r="AA37" s="299">
        <v>11707</v>
      </c>
    </row>
    <row r="38" spans="3:27" ht="13.8">
      <c r="C38" s="1005" t="str">
        <f>"Net Valuation Taxable "&amp;D34</f>
        <v>Net Valuation Taxable 2024</v>
      </c>
      <c r="D38" s="1035">
        <v>114735737</v>
      </c>
      <c r="F38" s="165"/>
      <c r="Q38" s="296">
        <f t="shared" si="0"/>
        <v>32</v>
      </c>
      <c r="R38" s="297" t="s">
        <v>995</v>
      </c>
      <c r="S38" s="297" t="s">
        <v>996</v>
      </c>
      <c r="T38" s="298" t="s">
        <v>900</v>
      </c>
      <c r="U38" s="296" t="s">
        <v>997</v>
      </c>
      <c r="V38" s="296" t="s">
        <v>2603</v>
      </c>
      <c r="W38" s="297" t="s">
        <v>2603</v>
      </c>
      <c r="X38" s="239" t="s">
        <v>3089</v>
      </c>
      <c r="Y38" s="239" t="s">
        <v>3124</v>
      </c>
      <c r="Z38" t="s">
        <v>3108</v>
      </c>
      <c r="AA38" s="299">
        <v>5907</v>
      </c>
    </row>
    <row r="39" spans="3:27" ht="14.4" thickBot="1">
      <c r="C39" s="1006" t="s">
        <v>878</v>
      </c>
      <c r="D39" s="1036" t="str">
        <f>VLOOKUP($D$8,$Q$7:$R$593,2,FALSE)</f>
        <v>1020</v>
      </c>
      <c r="F39" s="165"/>
      <c r="Q39" s="296">
        <f t="shared" si="0"/>
        <v>33</v>
      </c>
      <c r="R39" s="297" t="s">
        <v>998</v>
      </c>
      <c r="S39" s="297" t="s">
        <v>999</v>
      </c>
      <c r="T39" s="298" t="s">
        <v>922</v>
      </c>
      <c r="U39" s="296" t="s">
        <v>1000</v>
      </c>
      <c r="V39" s="296" t="s">
        <v>3072</v>
      </c>
      <c r="W39" s="297" t="s">
        <v>3072</v>
      </c>
      <c r="X39" s="239" t="s">
        <v>2583</v>
      </c>
      <c r="Y39" s="239" t="s">
        <v>3124</v>
      </c>
      <c r="Z39" t="s">
        <v>3105</v>
      </c>
      <c r="AA39" s="299">
        <v>2520</v>
      </c>
    </row>
    <row r="40" spans="3:27" ht="14.4" thickBot="1">
      <c r="C40" s="1005"/>
      <c r="D40" s="1004"/>
      <c r="F40" s="165"/>
      <c r="Q40" s="296">
        <f t="shared" si="0"/>
        <v>34</v>
      </c>
      <c r="R40" s="297" t="s">
        <v>1001</v>
      </c>
      <c r="S40" s="297" t="s">
        <v>1002</v>
      </c>
      <c r="T40" s="298" t="s">
        <v>908</v>
      </c>
      <c r="U40" s="296" t="s">
        <v>1003</v>
      </c>
      <c r="V40" s="296" t="s">
        <v>2604</v>
      </c>
      <c r="W40" s="297" t="s">
        <v>2604</v>
      </c>
      <c r="X40" s="239" t="s">
        <v>3089</v>
      </c>
      <c r="Y40" s="239" t="s">
        <v>3124</v>
      </c>
      <c r="Z40" t="s">
        <v>3105</v>
      </c>
      <c r="AA40" s="299">
        <v>28321</v>
      </c>
    </row>
    <row r="41" spans="3:27" ht="14.4" thickBot="1">
      <c r="C41" s="1011" t="s">
        <v>3588</v>
      </c>
      <c r="D41" s="1010" t="s">
        <v>3542</v>
      </c>
      <c r="F41" s="1011" t="s">
        <v>3543</v>
      </c>
      <c r="H41" s="152"/>
      <c r="Q41" s="296">
        <f t="shared" si="0"/>
        <v>35</v>
      </c>
      <c r="R41" s="297" t="s">
        <v>1004</v>
      </c>
      <c r="S41" s="297" t="s">
        <v>1005</v>
      </c>
      <c r="T41" s="298" t="s">
        <v>1006</v>
      </c>
      <c r="U41" s="296" t="s">
        <v>1007</v>
      </c>
      <c r="V41" s="296" t="s">
        <v>1005</v>
      </c>
      <c r="W41" s="297" t="s">
        <v>2840</v>
      </c>
      <c r="X41" s="239" t="s">
        <v>3088</v>
      </c>
      <c r="Y41" s="239" t="s">
        <v>3124</v>
      </c>
      <c r="Z41" t="s">
        <v>3105</v>
      </c>
      <c r="AA41" s="299">
        <v>13285</v>
      </c>
    </row>
    <row r="42" spans="3:27" ht="14.4" thickBot="1">
      <c r="C42" s="1049" t="s">
        <v>3582</v>
      </c>
      <c r="D42" s="1012" t="str">
        <f>"ANNUAL FINANCIAL STATEMENT FOR THE YEAR "&amp;D34&amp;""</f>
        <v>ANNUAL FINANCIAL STATEMENT FOR THE YEAR 2024</v>
      </c>
      <c r="F42" s="1016" t="str">
        <f>"ANNUAL FINANCIAL STATEMENT FOR THE YEAR "&amp;D33&amp;""</f>
        <v>ANNUAL FINANCIAL STATEMENT FOR THE YEAR 2025</v>
      </c>
      <c r="Q42" s="296">
        <f t="shared" si="0"/>
        <v>36</v>
      </c>
      <c r="R42" s="297" t="s">
        <v>1008</v>
      </c>
      <c r="S42" s="297" t="s">
        <v>1009</v>
      </c>
      <c r="T42" s="298" t="s">
        <v>959</v>
      </c>
      <c r="U42" s="296" t="s">
        <v>1010</v>
      </c>
      <c r="V42" s="296" t="s">
        <v>1009</v>
      </c>
      <c r="W42" s="297" t="s">
        <v>2841</v>
      </c>
      <c r="X42" s="239" t="s">
        <v>3088</v>
      </c>
      <c r="Y42" s="239" t="s">
        <v>3124</v>
      </c>
      <c r="Z42" t="s">
        <v>3106</v>
      </c>
      <c r="AA42" s="299">
        <v>43754</v>
      </c>
    </row>
    <row r="43" spans="3:27" ht="13.8">
      <c r="C43" s="164"/>
      <c r="D43" s="1013" t="str">
        <f>"COUNTIES - JANUARY  26, "&amp;D33&amp;""</f>
        <v>COUNTIES - JANUARY  26, 2025</v>
      </c>
      <c r="F43" s="1016"/>
      <c r="Q43" s="296">
        <f t="shared" si="0"/>
        <v>37</v>
      </c>
      <c r="R43" s="297" t="s">
        <v>1011</v>
      </c>
      <c r="S43" s="297" t="s">
        <v>1012</v>
      </c>
      <c r="T43" s="298" t="s">
        <v>945</v>
      </c>
      <c r="U43" s="296" t="s">
        <v>1013</v>
      </c>
      <c r="V43" s="296" t="s">
        <v>2605</v>
      </c>
      <c r="W43" s="297" t="s">
        <v>2605</v>
      </c>
      <c r="X43" s="239" t="s">
        <v>3089</v>
      </c>
      <c r="Y43" s="239" t="s">
        <v>3124</v>
      </c>
      <c r="Z43" t="s">
        <v>3105</v>
      </c>
      <c r="AA43" s="299">
        <v>7489</v>
      </c>
    </row>
    <row r="44" spans="3:27" ht="13.8">
      <c r="C44" s="164"/>
      <c r="D44" s="1013" t="str">
        <f>"MUNICIPALITIES - FEBRUARY 10, "&amp;D33</f>
        <v>MUNICIPALITIES - FEBRUARY 10, 2025</v>
      </c>
      <c r="F44" s="1017" t="str">
        <f>"MUNICIPALITIES - AUGUST 10, "&amp;D33&amp;""</f>
        <v>MUNICIPALITIES - AUGUST 10, 2025</v>
      </c>
      <c r="Q44" s="296">
        <f t="shared" si="0"/>
        <v>38</v>
      </c>
      <c r="R44" s="297" t="s">
        <v>1014</v>
      </c>
      <c r="S44" s="297" t="s">
        <v>1015</v>
      </c>
      <c r="T44" s="298" t="s">
        <v>945</v>
      </c>
      <c r="U44" s="296" t="s">
        <v>1016</v>
      </c>
      <c r="V44" s="296" t="s">
        <v>1015</v>
      </c>
      <c r="W44" s="297" t="s">
        <v>2605</v>
      </c>
      <c r="X44" s="239" t="s">
        <v>3088</v>
      </c>
      <c r="Y44" s="239" t="s">
        <v>3124</v>
      </c>
      <c r="Z44" t="s">
        <v>3108</v>
      </c>
      <c r="AA44" s="299">
        <v>5867</v>
      </c>
    </row>
    <row r="45" spans="3:27" ht="13.8">
      <c r="C45" s="164"/>
      <c r="D45" s="1013" t="str">
        <f>"AS  AT  DECEMBER  31, "&amp;D34</f>
        <v>AS  AT  DECEMBER  31, 2024</v>
      </c>
      <c r="F45" s="1016" t="str">
        <f>"AS  AT  JUNE 30, "&amp;D33&amp;""</f>
        <v>AS  AT  JUNE 30, 2025</v>
      </c>
      <c r="Q45" s="296">
        <f t="shared" si="0"/>
        <v>39</v>
      </c>
      <c r="R45" s="297" t="s">
        <v>1017</v>
      </c>
      <c r="S45" s="297" t="s">
        <v>1018</v>
      </c>
      <c r="T45" s="298" t="s">
        <v>986</v>
      </c>
      <c r="U45" s="296" t="s">
        <v>1019</v>
      </c>
      <c r="V45" s="296" t="s">
        <v>1018</v>
      </c>
      <c r="W45" s="297" t="s">
        <v>2842</v>
      </c>
      <c r="X45" s="239" t="s">
        <v>3088</v>
      </c>
      <c r="Y45" s="239" t="s">
        <v>3125</v>
      </c>
      <c r="Z45" t="s">
        <v>3110</v>
      </c>
      <c r="AA45" s="299">
        <v>27830</v>
      </c>
    </row>
    <row r="46" spans="3:27" ht="13.8">
      <c r="C46" s="164"/>
      <c r="D46" s="1013" t="str">
        <f>"Dec. 31, "&amp;D35</f>
        <v>Dec. 31, 2023</v>
      </c>
      <c r="F46" s="1016" t="str">
        <f>"June 30, "&amp;D34&amp;""</f>
        <v>June 30, 2024</v>
      </c>
      <c r="Q46" s="296">
        <f t="shared" si="0"/>
        <v>40</v>
      </c>
      <c r="R46" s="297" t="s">
        <v>1020</v>
      </c>
      <c r="S46" s="297" t="s">
        <v>1021</v>
      </c>
      <c r="T46" s="298" t="s">
        <v>986</v>
      </c>
      <c r="U46" s="296" t="s">
        <v>1022</v>
      </c>
      <c r="V46" s="296" t="s">
        <v>2606</v>
      </c>
      <c r="W46" s="297" t="s">
        <v>2606</v>
      </c>
      <c r="X46" s="239" t="s">
        <v>3089</v>
      </c>
      <c r="Y46" s="239" t="s">
        <v>3124</v>
      </c>
      <c r="Z46" t="s">
        <v>3105</v>
      </c>
      <c r="AA46" s="299">
        <v>7893</v>
      </c>
    </row>
    <row r="47" spans="3:27" ht="13.8">
      <c r="C47" s="164"/>
      <c r="D47" s="1013" t="str">
        <f>"Dec. 31, "&amp;D34</f>
        <v>Dec. 31, 2024</v>
      </c>
      <c r="F47" s="1016" t="str">
        <f>"June 30, "&amp;D33&amp;""</f>
        <v>June 30, 2025</v>
      </c>
      <c r="Q47" s="296">
        <f t="shared" si="0"/>
        <v>41</v>
      </c>
      <c r="R47" s="297" t="s">
        <v>1023</v>
      </c>
      <c r="S47" s="297" t="s">
        <v>1024</v>
      </c>
      <c r="T47" s="298" t="s">
        <v>1025</v>
      </c>
      <c r="U47" s="296" t="s">
        <v>1026</v>
      </c>
      <c r="V47" s="296" t="s">
        <v>1024</v>
      </c>
      <c r="W47" s="297" t="s">
        <v>2843</v>
      </c>
      <c r="X47" s="239" t="s">
        <v>3088</v>
      </c>
      <c r="Y47" s="239" t="s">
        <v>3125</v>
      </c>
      <c r="Z47" t="s">
        <v>3110</v>
      </c>
      <c r="AA47" s="299">
        <v>3745</v>
      </c>
    </row>
    <row r="48" spans="3:27" ht="13.8">
      <c r="C48" s="164"/>
      <c r="D48" s="1013" t="str">
        <f>"Jan. 1, "&amp;D34</f>
        <v>Jan. 1, 2024</v>
      </c>
      <c r="F48" s="1016" t="str">
        <f>"July 1, "&amp;D34&amp;""</f>
        <v>July 1, 2024</v>
      </c>
      <c r="Q48" s="296">
        <f t="shared" si="0"/>
        <v>42</v>
      </c>
      <c r="R48" s="297" t="s">
        <v>1027</v>
      </c>
      <c r="S48" s="297" t="s">
        <v>1028</v>
      </c>
      <c r="T48" s="298" t="s">
        <v>969</v>
      </c>
      <c r="U48" s="296" t="s">
        <v>1029</v>
      </c>
      <c r="V48" s="296" t="s">
        <v>3036</v>
      </c>
      <c r="W48" s="297" t="s">
        <v>3036</v>
      </c>
      <c r="X48" s="239" t="s">
        <v>3090</v>
      </c>
      <c r="Y48" s="239" t="s">
        <v>3124</v>
      </c>
      <c r="Z48" t="s">
        <v>3112</v>
      </c>
      <c r="AA48" s="299">
        <v>2499</v>
      </c>
    </row>
    <row r="49" spans="3:27" ht="13.8">
      <c r="C49" s="164"/>
      <c r="D49" s="1014" t="str">
        <f>"YEAR - "&amp;D35</f>
        <v>YEAR - 2023</v>
      </c>
      <c r="F49" s="1014" t="str">
        <f>"YEAR - "&amp;D35</f>
        <v>YEAR - 2023</v>
      </c>
      <c r="H49" s="239"/>
      <c r="Q49" s="296">
        <f t="shared" si="0"/>
        <v>43</v>
      </c>
      <c r="R49" s="297" t="s">
        <v>1030</v>
      </c>
      <c r="S49" s="297" t="s">
        <v>1031</v>
      </c>
      <c r="T49" s="298" t="s">
        <v>922</v>
      </c>
      <c r="U49" s="296" t="s">
        <v>1032</v>
      </c>
      <c r="V49" s="296" t="s">
        <v>1031</v>
      </c>
      <c r="W49" s="297" t="s">
        <v>2844</v>
      </c>
      <c r="X49" s="239" t="s">
        <v>3088</v>
      </c>
      <c r="Y49" s="239" t="s">
        <v>3125</v>
      </c>
      <c r="Z49" t="s">
        <v>3110</v>
      </c>
      <c r="AA49" s="299">
        <v>5704</v>
      </c>
    </row>
    <row r="50" spans="3:27" ht="14.4" thickBot="1">
      <c r="C50" s="164"/>
      <c r="D50" s="1015" t="str">
        <f>"YEAR - "&amp;D34</f>
        <v>YEAR - 2024</v>
      </c>
      <c r="F50" s="1015" t="str">
        <f>"YEAR - "&amp;D34</f>
        <v>YEAR - 2024</v>
      </c>
      <c r="Q50" s="296">
        <f t="shared" si="0"/>
        <v>44</v>
      </c>
      <c r="R50" s="297" t="s">
        <v>1033</v>
      </c>
      <c r="S50" s="297" t="s">
        <v>1034</v>
      </c>
      <c r="T50" s="298" t="s">
        <v>990</v>
      </c>
      <c r="U50" s="296" t="s">
        <v>1035</v>
      </c>
      <c r="V50" s="296" t="s">
        <v>1034</v>
      </c>
      <c r="W50" s="297" t="s">
        <v>2845</v>
      </c>
      <c r="X50" s="239" t="s">
        <v>3088</v>
      </c>
      <c r="Y50" s="239" t="s">
        <v>3124</v>
      </c>
      <c r="Z50" t="s">
        <v>3105</v>
      </c>
      <c r="AA50" s="299">
        <v>53105</v>
      </c>
    </row>
    <row r="51" spans="3:27" ht="14.4" thickBot="1">
      <c r="C51" s="164"/>
      <c r="F51" s="165"/>
      <c r="Q51" s="296">
        <f t="shared" si="0"/>
        <v>45</v>
      </c>
      <c r="R51" s="297" t="s">
        <v>1036</v>
      </c>
      <c r="S51" s="297" t="s">
        <v>1037</v>
      </c>
      <c r="T51" s="298" t="s">
        <v>1038</v>
      </c>
      <c r="U51" s="296" t="s">
        <v>1039</v>
      </c>
      <c r="V51" s="296" t="s">
        <v>2607</v>
      </c>
      <c r="W51" s="297" t="s">
        <v>2607</v>
      </c>
      <c r="X51" s="239" t="s">
        <v>3089</v>
      </c>
      <c r="Y51" s="239" t="s">
        <v>3124</v>
      </c>
      <c r="Z51" t="s">
        <v>3105</v>
      </c>
      <c r="AA51" s="299">
        <v>7777</v>
      </c>
    </row>
    <row r="52" spans="3:27" ht="14.4" thickBot="1">
      <c r="C52" s="161"/>
      <c r="D52" s="1008" t="s">
        <v>3584</v>
      </c>
      <c r="E52" s="1040">
        <v>2</v>
      </c>
      <c r="F52" s="1069" t="s">
        <v>3593</v>
      </c>
      <c r="Q52" s="296">
        <f t="shared" si="0"/>
        <v>46</v>
      </c>
      <c r="R52" s="297" t="s">
        <v>1040</v>
      </c>
      <c r="S52" s="297" t="s">
        <v>1041</v>
      </c>
      <c r="T52" s="298" t="s">
        <v>1025</v>
      </c>
      <c r="U52" s="296" t="s">
        <v>1042</v>
      </c>
      <c r="V52" s="296" t="s">
        <v>2608</v>
      </c>
      <c r="W52" s="297" t="s">
        <v>2608</v>
      </c>
      <c r="X52" s="239" t="s">
        <v>3089</v>
      </c>
      <c r="Y52" s="239" t="s">
        <v>3124</v>
      </c>
      <c r="Z52" t="s">
        <v>3105</v>
      </c>
      <c r="AA52" s="299">
        <v>792</v>
      </c>
    </row>
    <row r="53" spans="3:27" ht="14.4" thickBot="1">
      <c r="C53" s="1009"/>
      <c r="D53" s="1007" t="s">
        <v>3541</v>
      </c>
      <c r="E53" s="1009"/>
      <c r="F53" s="1059"/>
      <c r="G53" s="239"/>
      <c r="H53" s="239"/>
      <c r="Q53" s="296">
        <f t="shared" si="0"/>
        <v>47</v>
      </c>
      <c r="R53" s="297" t="s">
        <v>1043</v>
      </c>
      <c r="S53" s="297" t="s">
        <v>1044</v>
      </c>
      <c r="T53" s="298" t="s">
        <v>908</v>
      </c>
      <c r="U53" s="296" t="s">
        <v>1045</v>
      </c>
      <c r="V53" s="296" t="s">
        <v>2609</v>
      </c>
      <c r="W53" s="297" t="s">
        <v>2609</v>
      </c>
      <c r="X53" s="239" t="s">
        <v>3089</v>
      </c>
      <c r="Y53" s="239" t="s">
        <v>3124</v>
      </c>
      <c r="Z53" t="s">
        <v>3105</v>
      </c>
      <c r="AA53" s="299">
        <v>8778</v>
      </c>
    </row>
    <row r="54" spans="3:27" ht="13.8">
      <c r="C54" s="1066" t="s">
        <v>3386</v>
      </c>
      <c r="D54" s="1051" t="s">
        <v>3672</v>
      </c>
      <c r="E54" s="164"/>
      <c r="F54" s="165"/>
      <c r="Q54" s="296">
        <f t="shared" si="0"/>
        <v>48</v>
      </c>
      <c r="R54" s="297" t="s">
        <v>1046</v>
      </c>
      <c r="S54" s="297" t="s">
        <v>1047</v>
      </c>
      <c r="T54" s="298" t="s">
        <v>1048</v>
      </c>
      <c r="U54" s="296" t="s">
        <v>1049</v>
      </c>
      <c r="V54" s="296" t="s">
        <v>2846</v>
      </c>
      <c r="W54" s="297" t="s">
        <v>2846</v>
      </c>
      <c r="X54" s="239" t="s">
        <v>2583</v>
      </c>
      <c r="Y54" s="239" t="s">
        <v>3127</v>
      </c>
      <c r="Z54" t="s">
        <v>3115</v>
      </c>
      <c r="AA54" s="299">
        <v>8815</v>
      </c>
    </row>
    <row r="55" spans="3:27" ht="13.8">
      <c r="C55" s="1066" t="s">
        <v>3387</v>
      </c>
      <c r="D55" s="1120" t="s">
        <v>3673</v>
      </c>
      <c r="E55" s="164"/>
      <c r="F55" s="165"/>
      <c r="Q55" s="296">
        <f t="shared" si="0"/>
        <v>49</v>
      </c>
      <c r="R55" s="297" t="s">
        <v>1050</v>
      </c>
      <c r="S55" s="297" t="s">
        <v>1051</v>
      </c>
      <c r="T55" s="298" t="s">
        <v>1048</v>
      </c>
      <c r="U55" s="296" t="s">
        <v>1052</v>
      </c>
      <c r="V55" s="296" t="s">
        <v>1051</v>
      </c>
      <c r="W55" s="297" t="s">
        <v>2846</v>
      </c>
      <c r="X55" s="239" t="s">
        <v>3088</v>
      </c>
      <c r="Y55" s="239" t="s">
        <v>3125</v>
      </c>
      <c r="Z55" t="s">
        <v>3110</v>
      </c>
      <c r="AA55" s="299">
        <v>4380</v>
      </c>
    </row>
    <row r="56" spans="3:27" ht="13.8">
      <c r="C56" s="1066" t="s">
        <v>3388</v>
      </c>
      <c r="D56" s="1038"/>
      <c r="E56" s="164"/>
      <c r="F56" s="165"/>
      <c r="Q56" s="296">
        <f t="shared" si="0"/>
        <v>50</v>
      </c>
      <c r="R56" s="297" t="s">
        <v>1053</v>
      </c>
      <c r="S56" s="297" t="s">
        <v>1054</v>
      </c>
      <c r="T56" s="298" t="s">
        <v>969</v>
      </c>
      <c r="U56" s="296" t="s">
        <v>1055</v>
      </c>
      <c r="V56" s="296" t="s">
        <v>2847</v>
      </c>
      <c r="W56" s="297" t="s">
        <v>2847</v>
      </c>
      <c r="X56" s="239" t="s">
        <v>3090</v>
      </c>
      <c r="Y56" s="239" t="s">
        <v>3126</v>
      </c>
      <c r="Z56" t="s">
        <v>3109</v>
      </c>
      <c r="AA56" s="299">
        <v>3993</v>
      </c>
    </row>
    <row r="57" spans="3:27" ht="13.8">
      <c r="C57" s="1066" t="s">
        <v>3389</v>
      </c>
      <c r="D57" s="1038"/>
      <c r="E57" s="164"/>
      <c r="F57" s="165"/>
      <c r="Q57" s="296">
        <f t="shared" si="0"/>
        <v>51</v>
      </c>
      <c r="R57" s="297" t="s">
        <v>1056</v>
      </c>
      <c r="S57" s="297" t="s">
        <v>1057</v>
      </c>
      <c r="T57" s="298" t="s">
        <v>969</v>
      </c>
      <c r="U57" s="296" t="s">
        <v>1058</v>
      </c>
      <c r="V57" s="296" t="s">
        <v>1057</v>
      </c>
      <c r="W57" s="297" t="s">
        <v>2847</v>
      </c>
      <c r="X57" s="239" t="s">
        <v>3088</v>
      </c>
      <c r="Y57" s="239" t="s">
        <v>3125</v>
      </c>
      <c r="Z57" t="s">
        <v>3110</v>
      </c>
      <c r="AA57" s="299">
        <v>11791</v>
      </c>
    </row>
    <row r="58" spans="3:27" ht="13.8">
      <c r="C58" s="1066" t="s">
        <v>3390</v>
      </c>
      <c r="D58" s="1038"/>
      <c r="E58" s="164"/>
      <c r="F58" s="165"/>
      <c r="Q58" s="296">
        <f t="shared" si="0"/>
        <v>52</v>
      </c>
      <c r="R58" s="297" t="s">
        <v>1059</v>
      </c>
      <c r="S58" s="297" t="s">
        <v>1060</v>
      </c>
      <c r="T58" s="298" t="s">
        <v>986</v>
      </c>
      <c r="U58" s="296" t="s">
        <v>1061</v>
      </c>
      <c r="V58" s="296" t="s">
        <v>2610</v>
      </c>
      <c r="W58" s="297" t="s">
        <v>2610</v>
      </c>
      <c r="X58" s="239" t="s">
        <v>3089</v>
      </c>
      <c r="Y58" s="239" t="s">
        <v>3124</v>
      </c>
      <c r="Z58" t="s">
        <v>3105</v>
      </c>
      <c r="AA58" s="299">
        <v>11988</v>
      </c>
    </row>
    <row r="59" spans="3:27" ht="14.4" thickBot="1">
      <c r="C59" s="1067" t="s">
        <v>3391</v>
      </c>
      <c r="D59" s="1039"/>
      <c r="E59" s="164"/>
      <c r="F59" s="165"/>
      <c r="Q59" s="296">
        <f t="shared" si="0"/>
        <v>53</v>
      </c>
      <c r="R59" s="297" t="s">
        <v>1062</v>
      </c>
      <c r="S59" s="297" t="s">
        <v>1063</v>
      </c>
      <c r="T59" s="298" t="s">
        <v>900</v>
      </c>
      <c r="U59" s="296" t="s">
        <v>1064</v>
      </c>
      <c r="V59" s="296" t="s">
        <v>2611</v>
      </c>
      <c r="W59" s="297" t="s">
        <v>2611</v>
      </c>
      <c r="X59" s="239" t="s">
        <v>3089</v>
      </c>
      <c r="Y59" s="239" t="s">
        <v>3124</v>
      </c>
      <c r="Z59" t="s">
        <v>3108</v>
      </c>
      <c r="AA59" s="299">
        <v>4282</v>
      </c>
    </row>
    <row r="60" spans="3:27" ht="14.4" thickBot="1">
      <c r="C60" s="164"/>
      <c r="F60" s="165"/>
      <c r="Q60" s="296">
        <f t="shared" si="0"/>
        <v>54</v>
      </c>
      <c r="R60" s="297">
        <v>1805</v>
      </c>
      <c r="S60" s="297" t="s">
        <v>3646</v>
      </c>
      <c r="T60" s="298" t="s">
        <v>986</v>
      </c>
      <c r="U60" s="296" t="s">
        <v>3647</v>
      </c>
      <c r="V60" s="296" t="s">
        <v>3646</v>
      </c>
      <c r="W60" s="297" t="s">
        <v>3648</v>
      </c>
      <c r="X60" s="239" t="s">
        <v>3088</v>
      </c>
      <c r="Y60" s="239" t="s">
        <v>3125</v>
      </c>
      <c r="Z60" t="s">
        <v>3110</v>
      </c>
      <c r="AA60" s="299">
        <v>14940</v>
      </c>
    </row>
    <row r="61" spans="3:27" ht="14.4" thickBot="1">
      <c r="C61" s="164"/>
      <c r="D61" s="1134" t="s">
        <v>3591</v>
      </c>
      <c r="E61" s="1136"/>
      <c r="F61" s="1095" t="s">
        <v>3643</v>
      </c>
      <c r="Q61" s="296">
        <f t="shared" si="0"/>
        <v>55</v>
      </c>
      <c r="R61" s="297" t="s">
        <v>1065</v>
      </c>
      <c r="S61" s="297" t="s">
        <v>1066</v>
      </c>
      <c r="T61" s="298" t="s">
        <v>929</v>
      </c>
      <c r="U61" s="296" t="s">
        <v>1067</v>
      </c>
      <c r="V61" s="296" t="s">
        <v>2612</v>
      </c>
      <c r="W61" s="297" t="s">
        <v>2612</v>
      </c>
      <c r="X61" s="239" t="s">
        <v>3089</v>
      </c>
      <c r="Y61" s="239" t="s">
        <v>3124</v>
      </c>
      <c r="Z61" t="s">
        <v>3105</v>
      </c>
      <c r="AA61" s="299">
        <v>791</v>
      </c>
    </row>
    <row r="62" spans="3:27" ht="13.8">
      <c r="C62" s="164"/>
      <c r="D62" s="1071" t="s">
        <v>3544</v>
      </c>
      <c r="E62" s="1041" t="s">
        <v>3555</v>
      </c>
      <c r="F62" s="1072" t="s">
        <v>3594</v>
      </c>
      <c r="Q62" s="296">
        <f t="shared" si="0"/>
        <v>56</v>
      </c>
      <c r="R62" s="297" t="s">
        <v>1068</v>
      </c>
      <c r="S62" s="297" t="s">
        <v>1069</v>
      </c>
      <c r="T62" s="298" t="s">
        <v>959</v>
      </c>
      <c r="U62" s="296" t="s">
        <v>1070</v>
      </c>
      <c r="V62" s="296" t="s">
        <v>1069</v>
      </c>
      <c r="W62" s="297" t="s">
        <v>2848</v>
      </c>
      <c r="X62" s="239" t="s">
        <v>3088</v>
      </c>
      <c r="Y62" s="239" t="s">
        <v>3124</v>
      </c>
      <c r="Z62" t="s">
        <v>3106</v>
      </c>
      <c r="AA62" s="299">
        <v>73620</v>
      </c>
    </row>
    <row r="63" spans="3:27" ht="13.8">
      <c r="C63" s="1005"/>
      <c r="D63" s="1005" t="s">
        <v>3545</v>
      </c>
      <c r="E63" s="1042" t="s">
        <v>3555</v>
      </c>
      <c r="F63" s="1068" t="s">
        <v>3595</v>
      </c>
      <c r="Q63" s="296">
        <f t="shared" si="0"/>
        <v>57</v>
      </c>
      <c r="R63" s="297" t="s">
        <v>1071</v>
      </c>
      <c r="S63" s="297" t="s">
        <v>1072</v>
      </c>
      <c r="T63" s="298" t="s">
        <v>1073</v>
      </c>
      <c r="U63" s="296" t="s">
        <v>1074</v>
      </c>
      <c r="V63" s="296" t="s">
        <v>3037</v>
      </c>
      <c r="W63" s="297" t="s">
        <v>3037</v>
      </c>
      <c r="X63" s="239" t="s">
        <v>3090</v>
      </c>
      <c r="Y63" s="239" t="s">
        <v>3124</v>
      </c>
      <c r="Z63" t="s">
        <v>3113</v>
      </c>
      <c r="AA63" s="299">
        <v>27263</v>
      </c>
    </row>
    <row r="64" spans="3:27" ht="13.8">
      <c r="C64" s="1005"/>
      <c r="D64" s="1005" t="s">
        <v>3546</v>
      </c>
      <c r="E64" s="1042" t="s">
        <v>3555</v>
      </c>
      <c r="F64" s="1068" t="s">
        <v>3596</v>
      </c>
      <c r="Q64" s="296">
        <f t="shared" si="0"/>
        <v>58</v>
      </c>
      <c r="R64" s="297" t="s">
        <v>1075</v>
      </c>
      <c r="S64" s="297" t="s">
        <v>1076</v>
      </c>
      <c r="T64" s="298" t="s">
        <v>986</v>
      </c>
      <c r="U64" s="296" t="s">
        <v>1077</v>
      </c>
      <c r="V64" s="296" t="s">
        <v>1076</v>
      </c>
      <c r="W64" s="297" t="s">
        <v>2849</v>
      </c>
      <c r="X64" s="239" t="s">
        <v>3088</v>
      </c>
      <c r="Y64" s="239" t="s">
        <v>3124</v>
      </c>
      <c r="Z64" t="s">
        <v>3113</v>
      </c>
      <c r="AA64" s="299">
        <v>45977</v>
      </c>
    </row>
    <row r="65" spans="3:27" ht="13.8">
      <c r="C65" s="1005"/>
      <c r="D65" s="1005" t="s">
        <v>3547</v>
      </c>
      <c r="E65" s="1042" t="s">
        <v>3555</v>
      </c>
      <c r="F65" s="1068" t="s">
        <v>3597</v>
      </c>
      <c r="Q65" s="296">
        <f t="shared" si="0"/>
        <v>59</v>
      </c>
      <c r="R65" s="297" t="s">
        <v>1078</v>
      </c>
      <c r="S65" s="297" t="s">
        <v>1079</v>
      </c>
      <c r="T65" s="298" t="s">
        <v>900</v>
      </c>
      <c r="U65" s="296" t="s">
        <v>1080</v>
      </c>
      <c r="V65" s="296" t="s">
        <v>2613</v>
      </c>
      <c r="W65" s="297" t="s">
        <v>2613</v>
      </c>
      <c r="X65" s="239" t="s">
        <v>3089</v>
      </c>
      <c r="Y65" s="239" t="s">
        <v>3124</v>
      </c>
      <c r="Z65" t="s">
        <v>3105</v>
      </c>
      <c r="AA65" s="299">
        <v>4982</v>
      </c>
    </row>
    <row r="66" spans="3:27" ht="13.8">
      <c r="C66" s="1005"/>
      <c r="D66" s="1005" t="s">
        <v>3548</v>
      </c>
      <c r="E66" s="1042" t="s">
        <v>3555</v>
      </c>
      <c r="F66" s="1068" t="s">
        <v>3598</v>
      </c>
      <c r="Q66" s="296">
        <f t="shared" si="0"/>
        <v>60</v>
      </c>
      <c r="R66" s="297" t="s">
        <v>1081</v>
      </c>
      <c r="S66" s="297" t="s">
        <v>1082</v>
      </c>
      <c r="T66" s="298" t="s">
        <v>904</v>
      </c>
      <c r="U66" s="296" t="s">
        <v>1083</v>
      </c>
      <c r="V66" s="296" t="s">
        <v>3038</v>
      </c>
      <c r="W66" s="297" t="s">
        <v>3038</v>
      </c>
      <c r="X66" s="239" t="s">
        <v>3090</v>
      </c>
      <c r="Y66" s="239" t="s">
        <v>3124</v>
      </c>
      <c r="Z66" t="s">
        <v>3114</v>
      </c>
      <c r="AA66" s="299">
        <v>7716</v>
      </c>
    </row>
    <row r="67" spans="3:27" ht="16.5" customHeight="1">
      <c r="C67" s="1005"/>
      <c r="D67" s="1005" t="s">
        <v>3549</v>
      </c>
      <c r="E67" s="1042" t="s">
        <v>3555</v>
      </c>
      <c r="F67" s="1068" t="s">
        <v>3641</v>
      </c>
      <c r="G67" s="1143" t="s">
        <v>3652</v>
      </c>
      <c r="H67" s="1144"/>
      <c r="I67" s="1144"/>
      <c r="Q67" s="296">
        <f t="shared" si="0"/>
        <v>61</v>
      </c>
      <c r="R67" s="297" t="s">
        <v>1084</v>
      </c>
      <c r="S67" s="297" t="s">
        <v>1085</v>
      </c>
      <c r="T67" s="298" t="s">
        <v>945</v>
      </c>
      <c r="U67" s="296" t="s">
        <v>1086</v>
      </c>
      <c r="V67" s="296" t="s">
        <v>2614</v>
      </c>
      <c r="W67" s="297" t="s">
        <v>2614</v>
      </c>
      <c r="X67" s="239" t="s">
        <v>3089</v>
      </c>
      <c r="Y67" s="239" t="s">
        <v>3124</v>
      </c>
      <c r="Z67" t="s">
        <v>3105</v>
      </c>
      <c r="AA67" s="299">
        <v>1815</v>
      </c>
    </row>
    <row r="68" spans="3:27" ht="13.8">
      <c r="C68" s="1005"/>
      <c r="D68" s="1005" t="s">
        <v>3550</v>
      </c>
      <c r="E68" s="1042" t="s">
        <v>3555</v>
      </c>
      <c r="F68" s="1068" t="s">
        <v>3599</v>
      </c>
      <c r="G68" s="1143"/>
      <c r="H68" s="1144"/>
      <c r="I68" s="1144"/>
      <c r="Q68" s="296">
        <f t="shared" si="0"/>
        <v>62</v>
      </c>
      <c r="R68" s="297" t="s">
        <v>1087</v>
      </c>
      <c r="S68" s="297" t="s">
        <v>1088</v>
      </c>
      <c r="T68" s="298" t="s">
        <v>904</v>
      </c>
      <c r="U68" s="296" t="s">
        <v>1089</v>
      </c>
      <c r="V68" s="296" t="s">
        <v>2615</v>
      </c>
      <c r="W68" s="297" t="s">
        <v>2615</v>
      </c>
      <c r="X68" s="239" t="s">
        <v>3089</v>
      </c>
      <c r="Y68" s="239" t="s">
        <v>3124</v>
      </c>
      <c r="Z68" t="s">
        <v>3105</v>
      </c>
      <c r="AA68" s="299">
        <v>4501</v>
      </c>
    </row>
    <row r="69" spans="3:27" ht="13.8">
      <c r="C69" s="1005"/>
      <c r="D69" s="1005" t="s">
        <v>3551</v>
      </c>
      <c r="E69" s="1042" t="s">
        <v>3555</v>
      </c>
      <c r="F69" s="1068" t="s">
        <v>3640</v>
      </c>
      <c r="G69" s="1143"/>
      <c r="H69" s="1144"/>
      <c r="I69" s="1144"/>
      <c r="Q69" s="296">
        <f t="shared" si="0"/>
        <v>63</v>
      </c>
      <c r="R69" s="297" t="s">
        <v>1090</v>
      </c>
      <c r="S69" s="297" t="s">
        <v>1091</v>
      </c>
      <c r="T69" s="298" t="s">
        <v>904</v>
      </c>
      <c r="U69" s="296" t="s">
        <v>1092</v>
      </c>
      <c r="V69" s="296" t="s">
        <v>1091</v>
      </c>
      <c r="W69" s="297" t="s">
        <v>2850</v>
      </c>
      <c r="X69" s="239" t="s">
        <v>3088</v>
      </c>
      <c r="Y69" s="239" t="s">
        <v>3125</v>
      </c>
      <c r="Z69" t="s">
        <v>3110</v>
      </c>
      <c r="AA69" s="299">
        <v>7033</v>
      </c>
    </row>
    <row r="70" spans="3:27" ht="13.8">
      <c r="C70" s="1005"/>
      <c r="D70" s="1005" t="s">
        <v>3552</v>
      </c>
      <c r="E70" s="1042" t="s">
        <v>3555</v>
      </c>
      <c r="F70" s="1068" t="s">
        <v>3600</v>
      </c>
      <c r="Q70" s="296">
        <f t="shared" si="0"/>
        <v>64</v>
      </c>
      <c r="R70" s="297" t="s">
        <v>1093</v>
      </c>
      <c r="S70" s="297" t="s">
        <v>1094</v>
      </c>
      <c r="T70" s="298" t="s">
        <v>969</v>
      </c>
      <c r="U70" s="296" t="s">
        <v>1095</v>
      </c>
      <c r="V70" s="296" t="s">
        <v>969</v>
      </c>
      <c r="W70" s="297" t="s">
        <v>969</v>
      </c>
      <c r="X70" s="239" t="s">
        <v>3090</v>
      </c>
      <c r="Y70" s="239" t="s">
        <v>3124</v>
      </c>
      <c r="Z70" t="s">
        <v>3106</v>
      </c>
      <c r="AA70" s="299">
        <v>9743</v>
      </c>
    </row>
    <row r="71" spans="3:27" ht="14.4" thickBot="1">
      <c r="C71" s="168"/>
      <c r="D71" s="1006" t="s">
        <v>3604</v>
      </c>
      <c r="E71" s="1043" t="s">
        <v>3555</v>
      </c>
      <c r="F71" s="1070" t="s">
        <v>3617</v>
      </c>
      <c r="Q71" s="296">
        <f t="shared" si="0"/>
        <v>65</v>
      </c>
      <c r="R71" s="297" t="s">
        <v>1096</v>
      </c>
      <c r="S71" s="297" t="s">
        <v>1097</v>
      </c>
      <c r="T71" s="298" t="s">
        <v>969</v>
      </c>
      <c r="U71" s="296" t="s">
        <v>1098</v>
      </c>
      <c r="V71" s="296" t="s">
        <v>1097</v>
      </c>
      <c r="W71" s="297" t="s">
        <v>969</v>
      </c>
      <c r="X71" s="239" t="s">
        <v>3088</v>
      </c>
      <c r="Y71" s="239" t="s">
        <v>3124</v>
      </c>
      <c r="Z71" t="s">
        <v>3106</v>
      </c>
      <c r="AA71" s="299">
        <v>23983</v>
      </c>
    </row>
    <row r="72" spans="3:27" ht="13.8">
      <c r="Q72" s="296">
        <f t="shared" si="0"/>
        <v>66</v>
      </c>
      <c r="R72" s="297" t="s">
        <v>1099</v>
      </c>
      <c r="S72" s="297" t="s">
        <v>1100</v>
      </c>
      <c r="T72" s="298" t="s">
        <v>1048</v>
      </c>
      <c r="U72" s="296" t="s">
        <v>1101</v>
      </c>
      <c r="V72" s="296" t="s">
        <v>2616</v>
      </c>
      <c r="W72" s="297" t="s">
        <v>2616</v>
      </c>
      <c r="X72" s="239" t="s">
        <v>3089</v>
      </c>
      <c r="Y72" s="239" t="s">
        <v>3124</v>
      </c>
      <c r="Z72" t="s">
        <v>3105</v>
      </c>
      <c r="AA72" s="299">
        <v>8047</v>
      </c>
    </row>
    <row r="73" spans="3:27" ht="13.8">
      <c r="Q73" s="296">
        <f t="shared" si="0"/>
        <v>67</v>
      </c>
      <c r="R73" s="297" t="s">
        <v>1102</v>
      </c>
      <c r="S73" s="297" t="s">
        <v>1103</v>
      </c>
      <c r="T73" s="298" t="s">
        <v>929</v>
      </c>
      <c r="U73" s="296" t="s">
        <v>1104</v>
      </c>
      <c r="V73" s="296" t="s">
        <v>1103</v>
      </c>
      <c r="W73" s="297" t="s">
        <v>2851</v>
      </c>
      <c r="X73" s="239" t="s">
        <v>3088</v>
      </c>
      <c r="Y73" s="239" t="s">
        <v>3124</v>
      </c>
      <c r="Z73" t="s">
        <v>3108</v>
      </c>
      <c r="AA73" s="299">
        <v>8028</v>
      </c>
    </row>
    <row r="74" spans="3:27" ht="13.8">
      <c r="Q74" s="296">
        <f t="shared" si="0"/>
        <v>68</v>
      </c>
      <c r="R74" s="297" t="s">
        <v>1105</v>
      </c>
      <c r="S74" s="297" t="s">
        <v>3503</v>
      </c>
      <c r="T74" s="298" t="s">
        <v>990</v>
      </c>
      <c r="U74" s="296" t="s">
        <v>3504</v>
      </c>
      <c r="V74" s="296" t="s">
        <v>3503</v>
      </c>
      <c r="W74" s="297" t="s">
        <v>2852</v>
      </c>
      <c r="X74" s="239" t="s">
        <v>3089</v>
      </c>
      <c r="Y74" s="239" t="s">
        <v>3124</v>
      </c>
      <c r="Z74" t="s">
        <v>3105</v>
      </c>
      <c r="AA74" s="299">
        <v>9027</v>
      </c>
    </row>
    <row r="75" spans="3:27" ht="13.8">
      <c r="Q75" s="296">
        <f t="shared" ref="Q75:Q138" si="1">Q74+1</f>
        <v>69</v>
      </c>
      <c r="R75" s="297" t="s">
        <v>1106</v>
      </c>
      <c r="S75" s="297" t="s">
        <v>1107</v>
      </c>
      <c r="T75" s="298" t="s">
        <v>1025</v>
      </c>
      <c r="U75" s="296" t="s">
        <v>1108</v>
      </c>
      <c r="V75" s="296" t="s">
        <v>2617</v>
      </c>
      <c r="W75" s="297" t="s">
        <v>2617</v>
      </c>
      <c r="X75" s="239" t="s">
        <v>3089</v>
      </c>
      <c r="Y75" s="239" t="s">
        <v>3124</v>
      </c>
      <c r="Z75" t="s">
        <v>3105</v>
      </c>
      <c r="AA75" s="299">
        <v>1005</v>
      </c>
    </row>
    <row r="76" spans="3:27" ht="13.8">
      <c r="Q76" s="296">
        <f t="shared" si="1"/>
        <v>70</v>
      </c>
      <c r="R76" s="297" t="s">
        <v>1109</v>
      </c>
      <c r="S76" s="297" t="s">
        <v>1110</v>
      </c>
      <c r="T76" s="298" t="s">
        <v>945</v>
      </c>
      <c r="U76" s="296" t="s">
        <v>1111</v>
      </c>
      <c r="V76" s="296" t="s">
        <v>945</v>
      </c>
      <c r="W76" s="297" t="s">
        <v>945</v>
      </c>
      <c r="X76" s="239" t="s">
        <v>3090</v>
      </c>
      <c r="Y76" s="239" t="s">
        <v>3124</v>
      </c>
      <c r="Z76" t="s">
        <v>3106</v>
      </c>
      <c r="AA76" s="299">
        <v>71791</v>
      </c>
    </row>
    <row r="77" spans="3:27" ht="13.8">
      <c r="Q77" s="296">
        <f t="shared" si="1"/>
        <v>71</v>
      </c>
      <c r="R77" s="297" t="s">
        <v>1112</v>
      </c>
      <c r="S77" s="297" t="s">
        <v>1113</v>
      </c>
      <c r="T77" s="298" t="s">
        <v>952</v>
      </c>
      <c r="U77" s="296" t="s">
        <v>1114</v>
      </c>
      <c r="V77" s="296" t="s">
        <v>952</v>
      </c>
      <c r="W77" s="297" t="s">
        <v>952</v>
      </c>
      <c r="X77" s="239" t="s">
        <v>3090</v>
      </c>
      <c r="Y77" s="239" t="s">
        <v>3124</v>
      </c>
      <c r="Z77" t="s">
        <v>3111</v>
      </c>
      <c r="AA77" s="299">
        <v>2768</v>
      </c>
    </row>
    <row r="78" spans="3:27" ht="13.8">
      <c r="Q78" s="296">
        <f t="shared" si="1"/>
        <v>72</v>
      </c>
      <c r="R78" s="297" t="s">
        <v>1115</v>
      </c>
      <c r="S78" s="297" t="s">
        <v>1116</v>
      </c>
      <c r="T78" s="298" t="s">
        <v>952</v>
      </c>
      <c r="U78" s="296" t="s">
        <v>1117</v>
      </c>
      <c r="V78" s="296" t="s">
        <v>2618</v>
      </c>
      <c r="W78" s="297" t="s">
        <v>2618</v>
      </c>
      <c r="X78" s="239" t="s">
        <v>3089</v>
      </c>
      <c r="Y78" s="239" t="s">
        <v>3126</v>
      </c>
      <c r="Z78" t="s">
        <v>3109</v>
      </c>
      <c r="AA78" s="299">
        <v>305</v>
      </c>
    </row>
    <row r="79" spans="3:27" ht="13.8">
      <c r="Q79" s="296">
        <f t="shared" si="1"/>
        <v>73</v>
      </c>
      <c r="R79" s="297" t="s">
        <v>1118</v>
      </c>
      <c r="S79" s="297" t="s">
        <v>1119</v>
      </c>
      <c r="T79" s="298" t="s">
        <v>908</v>
      </c>
      <c r="U79" s="296" t="s">
        <v>1120</v>
      </c>
      <c r="V79" s="296" t="s">
        <v>2619</v>
      </c>
      <c r="W79" s="297" t="s">
        <v>2619</v>
      </c>
      <c r="X79" s="239" t="s">
        <v>3089</v>
      </c>
      <c r="Y79" s="239" t="s">
        <v>3124</v>
      </c>
      <c r="Z79" t="s">
        <v>3105</v>
      </c>
      <c r="AA79" s="299">
        <v>6372</v>
      </c>
    </row>
    <row r="80" spans="3:27" ht="13.8">
      <c r="Q80" s="296">
        <f t="shared" si="1"/>
        <v>74</v>
      </c>
      <c r="R80" s="297" t="s">
        <v>1121</v>
      </c>
      <c r="S80" s="297" t="s">
        <v>1122</v>
      </c>
      <c r="T80" s="298" t="s">
        <v>918</v>
      </c>
      <c r="U80" s="296" t="s">
        <v>1123</v>
      </c>
      <c r="V80" s="296" t="s">
        <v>1122</v>
      </c>
      <c r="W80" s="297" t="s">
        <v>2853</v>
      </c>
      <c r="X80" s="239" t="s">
        <v>3088</v>
      </c>
      <c r="Y80" s="239" t="s">
        <v>3125</v>
      </c>
      <c r="Z80" t="s">
        <v>3110</v>
      </c>
      <c r="AA80" s="299">
        <v>8637</v>
      </c>
    </row>
    <row r="81" spans="17:27" ht="13.8">
      <c r="Q81" s="296">
        <f t="shared" si="1"/>
        <v>75</v>
      </c>
      <c r="R81" s="297" t="s">
        <v>1124</v>
      </c>
      <c r="S81" s="297" t="s">
        <v>1125</v>
      </c>
      <c r="T81" s="298" t="s">
        <v>1126</v>
      </c>
      <c r="U81" s="296" t="s">
        <v>1127</v>
      </c>
      <c r="V81" s="296" t="s">
        <v>2620</v>
      </c>
      <c r="W81" s="297" t="s">
        <v>2620</v>
      </c>
      <c r="X81" s="239" t="s">
        <v>3089</v>
      </c>
      <c r="Y81" s="239" t="s">
        <v>3124</v>
      </c>
      <c r="Z81" t="s">
        <v>3105</v>
      </c>
      <c r="AA81" s="299">
        <v>25326</v>
      </c>
    </row>
    <row r="82" spans="17:27" ht="13.8">
      <c r="Q82" s="296">
        <f t="shared" si="1"/>
        <v>76</v>
      </c>
      <c r="R82" s="297" t="s">
        <v>1128</v>
      </c>
      <c r="S82" s="297" t="s">
        <v>1129</v>
      </c>
      <c r="T82" s="298" t="s">
        <v>990</v>
      </c>
      <c r="U82" s="296" t="s">
        <v>1130</v>
      </c>
      <c r="V82" s="296" t="s">
        <v>1129</v>
      </c>
      <c r="W82" s="297" t="s">
        <v>2854</v>
      </c>
      <c r="X82" s="239" t="s">
        <v>3088</v>
      </c>
      <c r="Y82" s="239" t="s">
        <v>3124</v>
      </c>
      <c r="Z82" t="s">
        <v>3111</v>
      </c>
      <c r="AA82" s="299">
        <v>12980</v>
      </c>
    </row>
    <row r="83" spans="17:27" ht="13.8">
      <c r="Q83" s="296">
        <f t="shared" si="1"/>
        <v>77</v>
      </c>
      <c r="R83" s="297" t="s">
        <v>1131</v>
      </c>
      <c r="S83" s="297" t="s">
        <v>1132</v>
      </c>
      <c r="T83" s="298" t="s">
        <v>1048</v>
      </c>
      <c r="U83" s="296" t="s">
        <v>1133</v>
      </c>
      <c r="V83" s="296" t="s">
        <v>2621</v>
      </c>
      <c r="W83" s="297" t="s">
        <v>2621</v>
      </c>
      <c r="X83" s="239" t="s">
        <v>3089</v>
      </c>
      <c r="Y83" s="239" t="s">
        <v>3124</v>
      </c>
      <c r="Z83" t="s">
        <v>3105</v>
      </c>
      <c r="AA83" s="299">
        <v>9212</v>
      </c>
    </row>
    <row r="84" spans="17:27" ht="13.8">
      <c r="Q84" s="296">
        <f t="shared" si="1"/>
        <v>78</v>
      </c>
      <c r="R84" s="297" t="s">
        <v>1134</v>
      </c>
      <c r="S84" s="297" t="s">
        <v>1135</v>
      </c>
      <c r="T84" s="298" t="s">
        <v>1048</v>
      </c>
      <c r="U84" s="296" t="s">
        <v>1136</v>
      </c>
      <c r="V84" s="296" t="s">
        <v>1135</v>
      </c>
      <c r="W84" s="297" t="s">
        <v>2621</v>
      </c>
      <c r="X84" s="239" t="s">
        <v>3088</v>
      </c>
      <c r="Y84" s="239" t="s">
        <v>3125</v>
      </c>
      <c r="Z84" t="s">
        <v>3110</v>
      </c>
      <c r="AA84" s="299">
        <v>10983</v>
      </c>
    </row>
    <row r="85" spans="17:27" ht="13.8">
      <c r="Q85" s="296">
        <f t="shared" si="1"/>
        <v>79</v>
      </c>
      <c r="R85" s="297" t="s">
        <v>1137</v>
      </c>
      <c r="S85" s="297" t="s">
        <v>1138</v>
      </c>
      <c r="T85" s="298" t="s">
        <v>945</v>
      </c>
      <c r="U85" s="296" t="s">
        <v>1139</v>
      </c>
      <c r="V85" s="296" t="s">
        <v>1138</v>
      </c>
      <c r="W85" s="297" t="s">
        <v>2855</v>
      </c>
      <c r="X85" s="239" t="s">
        <v>3088</v>
      </c>
      <c r="Y85" s="239" t="s">
        <v>3124</v>
      </c>
      <c r="Z85" t="s">
        <v>3106</v>
      </c>
      <c r="AA85" s="299">
        <v>74553</v>
      </c>
    </row>
    <row r="86" spans="17:27" ht="13.8">
      <c r="Q86" s="296">
        <f t="shared" si="1"/>
        <v>80</v>
      </c>
      <c r="R86" s="297" t="s">
        <v>1140</v>
      </c>
      <c r="S86" s="297" t="s">
        <v>1141</v>
      </c>
      <c r="T86" s="298" t="s">
        <v>945</v>
      </c>
      <c r="U86" s="296" t="s">
        <v>1142</v>
      </c>
      <c r="V86" s="296" t="s">
        <v>2622</v>
      </c>
      <c r="W86" s="297" t="s">
        <v>2622</v>
      </c>
      <c r="X86" s="239" t="s">
        <v>3089</v>
      </c>
      <c r="Y86" s="239" t="s">
        <v>3124</v>
      </c>
      <c r="Z86" t="s">
        <v>3105</v>
      </c>
      <c r="AA86" s="299">
        <v>1536</v>
      </c>
    </row>
    <row r="87" spans="17:27" ht="13.8">
      <c r="Q87" s="296">
        <f t="shared" si="1"/>
        <v>81</v>
      </c>
      <c r="R87" s="297" t="s">
        <v>1143</v>
      </c>
      <c r="S87" s="297" t="s">
        <v>1144</v>
      </c>
      <c r="T87" s="298" t="s">
        <v>1048</v>
      </c>
      <c r="U87" s="296" t="s">
        <v>1145</v>
      </c>
      <c r="V87" s="296" t="s">
        <v>2623</v>
      </c>
      <c r="W87" s="297" t="s">
        <v>2623</v>
      </c>
      <c r="X87" s="239" t="s">
        <v>3089</v>
      </c>
      <c r="Y87" s="239" t="s">
        <v>3124</v>
      </c>
      <c r="Z87" t="s">
        <v>3105</v>
      </c>
      <c r="AA87" s="299">
        <v>1681</v>
      </c>
    </row>
    <row r="88" spans="17:27" ht="13.8">
      <c r="Q88" s="296">
        <f t="shared" si="1"/>
        <v>82</v>
      </c>
      <c r="R88" s="297" t="s">
        <v>1146</v>
      </c>
      <c r="S88" s="297" t="s">
        <v>1147</v>
      </c>
      <c r="T88" s="298" t="s">
        <v>1048</v>
      </c>
      <c r="U88" s="296" t="s">
        <v>1148</v>
      </c>
      <c r="V88" s="296" t="s">
        <v>1147</v>
      </c>
      <c r="W88" s="297" t="s">
        <v>2623</v>
      </c>
      <c r="X88" s="239" t="s">
        <v>3088</v>
      </c>
      <c r="Y88" s="239" t="s">
        <v>3124</v>
      </c>
      <c r="Z88" t="s">
        <v>3108</v>
      </c>
      <c r="AA88" s="299">
        <v>7713</v>
      </c>
    </row>
    <row r="89" spans="17:27" ht="13.8">
      <c r="Q89" s="296">
        <f t="shared" si="1"/>
        <v>83</v>
      </c>
      <c r="R89" s="297" t="s">
        <v>1149</v>
      </c>
      <c r="S89" s="297" t="s">
        <v>1150</v>
      </c>
      <c r="T89" s="298" t="s">
        <v>969</v>
      </c>
      <c r="U89" s="296" t="s">
        <v>1151</v>
      </c>
      <c r="V89" s="296" t="s">
        <v>1150</v>
      </c>
      <c r="W89" s="297" t="s">
        <v>2856</v>
      </c>
      <c r="X89" s="239" t="s">
        <v>3088</v>
      </c>
      <c r="Y89" s="239" t="s">
        <v>3125</v>
      </c>
      <c r="Z89" t="s">
        <v>3107</v>
      </c>
      <c r="AA89" s="299">
        <v>9422</v>
      </c>
    </row>
    <row r="90" spans="17:27" ht="13.8">
      <c r="Q90" s="296">
        <f t="shared" si="1"/>
        <v>84</v>
      </c>
      <c r="R90" s="297" t="s">
        <v>1152</v>
      </c>
      <c r="S90" s="297" t="s">
        <v>1153</v>
      </c>
      <c r="T90" s="298" t="s">
        <v>969</v>
      </c>
      <c r="U90" s="296" t="s">
        <v>1154</v>
      </c>
      <c r="V90" s="296" t="s">
        <v>1153</v>
      </c>
      <c r="W90" s="297" t="s">
        <v>2857</v>
      </c>
      <c r="X90" s="239" t="s">
        <v>3088</v>
      </c>
      <c r="Y90" s="239" t="s">
        <v>3125</v>
      </c>
      <c r="Z90" t="s">
        <v>3110</v>
      </c>
      <c r="AA90" s="299">
        <v>17064</v>
      </c>
    </row>
    <row r="91" spans="17:27" ht="13.8">
      <c r="Q91" s="296">
        <f t="shared" si="1"/>
        <v>85</v>
      </c>
      <c r="R91" s="297" t="s">
        <v>1155</v>
      </c>
      <c r="S91" s="297" t="s">
        <v>1156</v>
      </c>
      <c r="T91" s="298" t="s">
        <v>1006</v>
      </c>
      <c r="U91" s="296" t="s">
        <v>1157</v>
      </c>
      <c r="V91" s="296" t="s">
        <v>1156</v>
      </c>
      <c r="W91" s="297" t="s">
        <v>2858</v>
      </c>
      <c r="X91" s="239" t="s">
        <v>3088</v>
      </c>
      <c r="Y91" s="239" t="s">
        <v>3124</v>
      </c>
      <c r="Z91" t="s">
        <v>3105</v>
      </c>
      <c r="AA91" s="299">
        <v>15544</v>
      </c>
    </row>
    <row r="92" spans="17:27" ht="13.8">
      <c r="Q92" s="296">
        <f t="shared" si="1"/>
        <v>86</v>
      </c>
      <c r="R92" s="297" t="s">
        <v>1158</v>
      </c>
      <c r="S92" s="297" t="s">
        <v>1159</v>
      </c>
      <c r="T92" s="298" t="s">
        <v>1160</v>
      </c>
      <c r="U92" s="296" t="s">
        <v>1161</v>
      </c>
      <c r="V92" s="296" t="s">
        <v>2624</v>
      </c>
      <c r="W92" s="297" t="s">
        <v>2624</v>
      </c>
      <c r="X92" s="239" t="s">
        <v>3089</v>
      </c>
      <c r="Y92" s="239" t="s">
        <v>3124</v>
      </c>
      <c r="Z92" t="s">
        <v>3105</v>
      </c>
      <c r="AA92" s="299">
        <v>8807</v>
      </c>
    </row>
    <row r="93" spans="17:27" ht="13.8">
      <c r="Q93" s="296">
        <f t="shared" si="1"/>
        <v>87</v>
      </c>
      <c r="R93" s="297" t="s">
        <v>1162</v>
      </c>
      <c r="S93" s="297" t="s">
        <v>1163</v>
      </c>
      <c r="T93" s="298" t="s">
        <v>945</v>
      </c>
      <c r="U93" s="296" t="s">
        <v>1164</v>
      </c>
      <c r="V93" s="296" t="s">
        <v>2625</v>
      </c>
      <c r="W93" s="297" t="s">
        <v>2625</v>
      </c>
      <c r="X93" s="239" t="s">
        <v>3089</v>
      </c>
      <c r="Y93" s="239" t="s">
        <v>3124</v>
      </c>
      <c r="Z93" t="s">
        <v>3105</v>
      </c>
      <c r="AA93" s="299">
        <v>5338</v>
      </c>
    </row>
    <row r="94" spans="17:27" ht="13.8">
      <c r="Q94" s="296">
        <f t="shared" si="1"/>
        <v>88</v>
      </c>
      <c r="R94" s="297" t="s">
        <v>1165</v>
      </c>
      <c r="S94" s="297" t="s">
        <v>1166</v>
      </c>
      <c r="T94" s="298" t="s">
        <v>908</v>
      </c>
      <c r="U94" s="296" t="s">
        <v>1167</v>
      </c>
      <c r="V94" s="296" t="s">
        <v>2626</v>
      </c>
      <c r="W94" s="297" t="s">
        <v>2626</v>
      </c>
      <c r="X94" s="239" t="s">
        <v>3089</v>
      </c>
      <c r="Y94" s="239" t="s">
        <v>3124</v>
      </c>
      <c r="Z94" t="s">
        <v>3105</v>
      </c>
      <c r="AA94" s="299">
        <v>25693</v>
      </c>
    </row>
    <row r="95" spans="17:27" ht="13.8">
      <c r="Q95" s="296">
        <f t="shared" si="1"/>
        <v>89</v>
      </c>
      <c r="R95" s="297" t="s">
        <v>1168</v>
      </c>
      <c r="S95" s="297" t="s">
        <v>1169</v>
      </c>
      <c r="T95" s="298" t="s">
        <v>1038</v>
      </c>
      <c r="U95" s="296" t="s">
        <v>1170</v>
      </c>
      <c r="V95" s="296" t="s">
        <v>3039</v>
      </c>
      <c r="W95" s="297" t="s">
        <v>3039</v>
      </c>
      <c r="X95" s="239" t="s">
        <v>3090</v>
      </c>
      <c r="Y95" s="239" t="s">
        <v>3124</v>
      </c>
      <c r="Z95" t="s">
        <v>3114</v>
      </c>
      <c r="AA95" s="299">
        <v>90296</v>
      </c>
    </row>
    <row r="96" spans="17:27" ht="13.8">
      <c r="Q96" s="296">
        <f t="shared" si="1"/>
        <v>90</v>
      </c>
      <c r="R96" s="297" t="s">
        <v>1171</v>
      </c>
      <c r="S96" s="297" t="s">
        <v>1172</v>
      </c>
      <c r="T96" s="298" t="s">
        <v>1025</v>
      </c>
      <c r="U96" s="296" t="s">
        <v>1173</v>
      </c>
      <c r="V96" s="296" t="s">
        <v>2859</v>
      </c>
      <c r="W96" s="297" t="s">
        <v>2859</v>
      </c>
      <c r="X96" s="239" t="s">
        <v>2583</v>
      </c>
      <c r="Y96" s="239" t="s">
        <v>3124</v>
      </c>
      <c r="Z96" t="s">
        <v>3105</v>
      </c>
      <c r="AA96" s="299">
        <v>2773</v>
      </c>
    </row>
    <row r="97" spans="17:27" ht="13.8">
      <c r="Q97" s="296">
        <f t="shared" si="1"/>
        <v>91</v>
      </c>
      <c r="R97" s="297" t="s">
        <v>1174</v>
      </c>
      <c r="S97" s="297" t="s">
        <v>1175</v>
      </c>
      <c r="T97" s="298" t="s">
        <v>1025</v>
      </c>
      <c r="U97" s="296" t="s">
        <v>1176</v>
      </c>
      <c r="V97" s="296" t="s">
        <v>1175</v>
      </c>
      <c r="W97" s="297" t="s">
        <v>2859</v>
      </c>
      <c r="X97" s="239" t="s">
        <v>3088</v>
      </c>
      <c r="Y97" s="239" t="s">
        <v>3124</v>
      </c>
      <c r="Z97" t="s">
        <v>3108</v>
      </c>
      <c r="AA97" s="299">
        <v>13505</v>
      </c>
    </row>
    <row r="98" spans="17:27" ht="13.8">
      <c r="Q98" s="296">
        <f t="shared" si="1"/>
        <v>92</v>
      </c>
      <c r="R98" s="297" t="s">
        <v>1177</v>
      </c>
      <c r="S98" s="297" t="s">
        <v>1178</v>
      </c>
      <c r="T98" s="298" t="s">
        <v>908</v>
      </c>
      <c r="U98" s="296" t="s">
        <v>1179</v>
      </c>
      <c r="V98" s="296" t="s">
        <v>2627</v>
      </c>
      <c r="W98" s="297" t="s">
        <v>2627</v>
      </c>
      <c r="X98" s="239" t="s">
        <v>3089</v>
      </c>
      <c r="Y98" s="239" t="s">
        <v>3124</v>
      </c>
      <c r="Z98" t="s">
        <v>3105</v>
      </c>
      <c r="AA98" s="299">
        <v>8594</v>
      </c>
    </row>
    <row r="99" spans="17:27" ht="13.8">
      <c r="Q99" s="296">
        <f t="shared" si="1"/>
        <v>93</v>
      </c>
      <c r="R99" s="297" t="s">
        <v>1180</v>
      </c>
      <c r="S99" s="297" t="s">
        <v>1181</v>
      </c>
      <c r="T99" s="298" t="s">
        <v>945</v>
      </c>
      <c r="U99" s="296" t="s">
        <v>1182</v>
      </c>
      <c r="V99" s="296" t="s">
        <v>2628</v>
      </c>
      <c r="W99" s="297" t="s">
        <v>2628</v>
      </c>
      <c r="X99" s="239" t="s">
        <v>3089</v>
      </c>
      <c r="Y99" s="239" t="s">
        <v>3126</v>
      </c>
      <c r="Z99" t="s">
        <v>3109</v>
      </c>
      <c r="AA99" s="299">
        <v>14186</v>
      </c>
    </row>
    <row r="100" spans="17:27" ht="13.8">
      <c r="Q100" s="296">
        <f t="shared" si="1"/>
        <v>94</v>
      </c>
      <c r="R100" s="297" t="s">
        <v>1183</v>
      </c>
      <c r="S100" s="297" t="s">
        <v>1184</v>
      </c>
      <c r="T100" s="298" t="s">
        <v>900</v>
      </c>
      <c r="U100" s="296" t="s">
        <v>1185</v>
      </c>
      <c r="V100" s="296" t="s">
        <v>1184</v>
      </c>
      <c r="W100" s="297" t="s">
        <v>2860</v>
      </c>
      <c r="X100" s="239" t="s">
        <v>3088</v>
      </c>
      <c r="Y100" s="239" t="s">
        <v>3125</v>
      </c>
      <c r="Z100" t="s">
        <v>3110</v>
      </c>
      <c r="AA100" s="299">
        <v>9957</v>
      </c>
    </row>
    <row r="101" spans="17:27" ht="13.8">
      <c r="Q101" s="296">
        <f t="shared" si="1"/>
        <v>95</v>
      </c>
      <c r="R101" s="297" t="s">
        <v>1186</v>
      </c>
      <c r="S101" s="297" t="s">
        <v>1187</v>
      </c>
      <c r="T101" s="298" t="s">
        <v>1073</v>
      </c>
      <c r="U101" s="296" t="s">
        <v>1188</v>
      </c>
      <c r="V101" s="296" t="s">
        <v>1187</v>
      </c>
      <c r="W101" s="297" t="s">
        <v>2861</v>
      </c>
      <c r="X101" s="239" t="s">
        <v>3088</v>
      </c>
      <c r="Y101" s="239" t="s">
        <v>3125</v>
      </c>
      <c r="Z101" t="s">
        <v>3107</v>
      </c>
      <c r="AA101" s="299">
        <v>4669</v>
      </c>
    </row>
    <row r="102" spans="17:27" ht="13.8">
      <c r="Q102" s="296">
        <f t="shared" si="1"/>
        <v>96</v>
      </c>
      <c r="R102" s="297" t="s">
        <v>1189</v>
      </c>
      <c r="S102" s="297" t="s">
        <v>1190</v>
      </c>
      <c r="T102" s="298" t="s">
        <v>904</v>
      </c>
      <c r="U102" s="296" t="s">
        <v>1191</v>
      </c>
      <c r="V102" s="296" t="s">
        <v>1190</v>
      </c>
      <c r="W102" s="297" t="s">
        <v>1190</v>
      </c>
      <c r="X102" s="239" t="s">
        <v>3090</v>
      </c>
      <c r="Y102" s="239" t="s">
        <v>3124</v>
      </c>
      <c r="Z102" t="s">
        <v>3116</v>
      </c>
      <c r="AA102" s="299">
        <v>471</v>
      </c>
    </row>
    <row r="103" spans="17:27" ht="13.8">
      <c r="Q103" s="296">
        <f t="shared" si="1"/>
        <v>97</v>
      </c>
      <c r="R103" s="297" t="s">
        <v>1192</v>
      </c>
      <c r="S103" s="297" t="s">
        <v>1193</v>
      </c>
      <c r="T103" s="298" t="s">
        <v>1126</v>
      </c>
      <c r="U103" s="296" t="s">
        <v>1194</v>
      </c>
      <c r="V103" s="296" t="s">
        <v>1193</v>
      </c>
      <c r="W103" s="297" t="s">
        <v>2862</v>
      </c>
      <c r="X103" s="239" t="s">
        <v>3088</v>
      </c>
      <c r="Y103" s="239" t="s">
        <v>3125</v>
      </c>
      <c r="Z103" t="s">
        <v>3110</v>
      </c>
      <c r="AA103" s="299">
        <v>3842</v>
      </c>
    </row>
    <row r="104" spans="17:27" ht="13.8">
      <c r="Q104" s="296">
        <f t="shared" si="1"/>
        <v>98</v>
      </c>
      <c r="R104" s="297" t="s">
        <v>1195</v>
      </c>
      <c r="S104" s="297" t="s">
        <v>1196</v>
      </c>
      <c r="T104" s="298" t="s">
        <v>1006</v>
      </c>
      <c r="U104" s="296" t="s">
        <v>1197</v>
      </c>
      <c r="V104" s="296" t="s">
        <v>1196</v>
      </c>
      <c r="W104" s="297" t="s">
        <v>2863</v>
      </c>
      <c r="X104" s="239" t="s">
        <v>3088</v>
      </c>
      <c r="Y104" s="239" t="s">
        <v>3125</v>
      </c>
      <c r="Z104" t="s">
        <v>3110</v>
      </c>
      <c r="AA104" s="299">
        <v>23847</v>
      </c>
    </row>
    <row r="105" spans="17:27" ht="13.8">
      <c r="Q105" s="296">
        <f t="shared" si="1"/>
        <v>99</v>
      </c>
      <c r="R105" s="297" t="s">
        <v>1198</v>
      </c>
      <c r="S105" s="297" t="s">
        <v>1199</v>
      </c>
      <c r="T105" s="298" t="s">
        <v>908</v>
      </c>
      <c r="U105" s="296" t="s">
        <v>1200</v>
      </c>
      <c r="V105" s="296" t="s">
        <v>2629</v>
      </c>
      <c r="W105" s="297" t="s">
        <v>2629</v>
      </c>
      <c r="X105" s="239" t="s">
        <v>3089</v>
      </c>
      <c r="Y105" s="239" t="s">
        <v>3124</v>
      </c>
      <c r="Z105" t="s">
        <v>3105</v>
      </c>
      <c r="AA105" s="299">
        <v>9155</v>
      </c>
    </row>
    <row r="106" spans="17:27" ht="13.8">
      <c r="Q106" s="296">
        <f t="shared" si="1"/>
        <v>100</v>
      </c>
      <c r="R106" s="297" t="s">
        <v>1201</v>
      </c>
      <c r="S106" s="297" t="s">
        <v>1202</v>
      </c>
      <c r="T106" s="298" t="s">
        <v>900</v>
      </c>
      <c r="U106" s="296" t="s">
        <v>1203</v>
      </c>
      <c r="V106" s="296" t="s">
        <v>2630</v>
      </c>
      <c r="W106" s="297" t="s">
        <v>2630</v>
      </c>
      <c r="X106" s="239" t="s">
        <v>3089</v>
      </c>
      <c r="Y106" s="239" t="s">
        <v>3126</v>
      </c>
      <c r="Z106" t="s">
        <v>3109</v>
      </c>
      <c r="AA106" s="299">
        <v>900</v>
      </c>
    </row>
    <row r="107" spans="17:27" ht="13.8">
      <c r="Q107" s="296">
        <f t="shared" si="1"/>
        <v>101</v>
      </c>
      <c r="R107" s="297" t="s">
        <v>1204</v>
      </c>
      <c r="S107" s="297" t="s">
        <v>1205</v>
      </c>
      <c r="T107" s="298" t="s">
        <v>1073</v>
      </c>
      <c r="U107" s="296" t="s">
        <v>1206</v>
      </c>
      <c r="V107" s="296" t="s">
        <v>1205</v>
      </c>
      <c r="W107" s="297" t="s">
        <v>2864</v>
      </c>
      <c r="X107" s="239" t="s">
        <v>3088</v>
      </c>
      <c r="Y107" s="239" t="s">
        <v>3125</v>
      </c>
      <c r="Z107" t="s">
        <v>3110</v>
      </c>
      <c r="AA107" s="299">
        <v>3136</v>
      </c>
    </row>
    <row r="108" spans="17:27" ht="13.8">
      <c r="Q108" s="296">
        <f t="shared" si="1"/>
        <v>102</v>
      </c>
      <c r="R108" s="297" t="s">
        <v>1207</v>
      </c>
      <c r="S108" s="297" t="s">
        <v>1208</v>
      </c>
      <c r="T108" s="298" t="s">
        <v>969</v>
      </c>
      <c r="U108" s="296" t="s">
        <v>1209</v>
      </c>
      <c r="V108" s="296" t="s">
        <v>1208</v>
      </c>
      <c r="W108" s="297" t="s">
        <v>2865</v>
      </c>
      <c r="X108" s="239" t="s">
        <v>3088</v>
      </c>
      <c r="Y108" s="239" t="s">
        <v>3125</v>
      </c>
      <c r="Z108" t="s">
        <v>3110</v>
      </c>
      <c r="AA108" s="299">
        <v>4824</v>
      </c>
    </row>
    <row r="109" spans="17:27" ht="13.8">
      <c r="Q109" s="296">
        <f t="shared" si="1"/>
        <v>103</v>
      </c>
      <c r="R109" s="297" t="s">
        <v>1210</v>
      </c>
      <c r="S109" s="297" t="s">
        <v>1211</v>
      </c>
      <c r="T109" s="298" t="s">
        <v>1025</v>
      </c>
      <c r="U109" s="296" t="s">
        <v>1212</v>
      </c>
      <c r="V109" s="296" t="s">
        <v>1211</v>
      </c>
      <c r="W109" s="297" t="s">
        <v>2866</v>
      </c>
      <c r="X109" s="239" t="s">
        <v>3088</v>
      </c>
      <c r="Y109" s="239" t="s">
        <v>3125</v>
      </c>
      <c r="Z109" t="s">
        <v>3110</v>
      </c>
      <c r="AA109" s="299">
        <v>4560</v>
      </c>
    </row>
    <row r="110" spans="17:27" ht="13.8">
      <c r="Q110" s="296">
        <f t="shared" si="1"/>
        <v>104</v>
      </c>
      <c r="R110" s="297" t="s">
        <v>1213</v>
      </c>
      <c r="S110" s="297" t="s">
        <v>1214</v>
      </c>
      <c r="T110" s="298" t="s">
        <v>969</v>
      </c>
      <c r="U110" s="296" t="s">
        <v>1215</v>
      </c>
      <c r="V110" s="296" t="s">
        <v>1214</v>
      </c>
      <c r="W110" s="297" t="s">
        <v>2867</v>
      </c>
      <c r="X110" s="239" t="s">
        <v>3088</v>
      </c>
      <c r="Y110" s="239" t="s">
        <v>3124</v>
      </c>
      <c r="Z110" t="s">
        <v>3113</v>
      </c>
      <c r="AA110" s="299">
        <v>17882</v>
      </c>
    </row>
    <row r="111" spans="17:27" ht="13.8">
      <c r="Q111" s="296">
        <f t="shared" si="1"/>
        <v>105</v>
      </c>
      <c r="R111" s="297" t="s">
        <v>1216</v>
      </c>
      <c r="S111" s="297" t="s">
        <v>1217</v>
      </c>
      <c r="T111" s="298" t="s">
        <v>908</v>
      </c>
      <c r="U111" s="296" t="s">
        <v>1218</v>
      </c>
      <c r="V111" s="296" t="s">
        <v>2631</v>
      </c>
      <c r="W111" s="297" t="s">
        <v>2631</v>
      </c>
      <c r="X111" s="239" t="s">
        <v>3089</v>
      </c>
      <c r="Y111" s="239" t="s">
        <v>3124</v>
      </c>
      <c r="Z111" t="s">
        <v>3105</v>
      </c>
      <c r="AA111" s="299">
        <v>4981</v>
      </c>
    </row>
    <row r="112" spans="17:27" ht="13.8">
      <c r="Q112" s="296">
        <f t="shared" si="1"/>
        <v>106</v>
      </c>
      <c r="R112" s="297" t="s">
        <v>1219</v>
      </c>
      <c r="S112" s="297" t="s">
        <v>1220</v>
      </c>
      <c r="T112" s="298" t="s">
        <v>952</v>
      </c>
      <c r="U112" s="296" t="s">
        <v>1221</v>
      </c>
      <c r="V112" s="296" t="s">
        <v>1220</v>
      </c>
      <c r="W112" s="297" t="s">
        <v>2868</v>
      </c>
      <c r="X112" s="239" t="s">
        <v>3088</v>
      </c>
      <c r="Y112" s="239" t="s">
        <v>3125</v>
      </c>
      <c r="Z112" t="s">
        <v>3110</v>
      </c>
      <c r="AA112" s="299">
        <v>6285</v>
      </c>
    </row>
    <row r="113" spans="17:27" ht="13.8">
      <c r="Q113" s="296">
        <f t="shared" si="1"/>
        <v>107</v>
      </c>
      <c r="R113" s="297" t="s">
        <v>1222</v>
      </c>
      <c r="S113" s="297" t="s">
        <v>1223</v>
      </c>
      <c r="T113" s="298" t="s">
        <v>1048</v>
      </c>
      <c r="U113" s="296" t="s">
        <v>1224</v>
      </c>
      <c r="V113" s="296" t="s">
        <v>1223</v>
      </c>
      <c r="W113" s="297" t="s">
        <v>2869</v>
      </c>
      <c r="X113" s="239" t="s">
        <v>3088</v>
      </c>
      <c r="Y113" s="239" t="s">
        <v>3124</v>
      </c>
      <c r="Z113" t="s">
        <v>3106</v>
      </c>
      <c r="AA113" s="299">
        <v>17107</v>
      </c>
    </row>
    <row r="114" spans="17:27" ht="13.8">
      <c r="Q114" s="296">
        <f t="shared" si="1"/>
        <v>108</v>
      </c>
      <c r="R114" s="297" t="s">
        <v>1225</v>
      </c>
      <c r="S114" s="297" t="s">
        <v>1226</v>
      </c>
      <c r="T114" s="298" t="s">
        <v>1160</v>
      </c>
      <c r="U114" s="296" t="s">
        <v>1227</v>
      </c>
      <c r="V114" s="296" t="s">
        <v>1226</v>
      </c>
      <c r="W114" s="297" t="s">
        <v>2870</v>
      </c>
      <c r="X114" s="239" t="s">
        <v>3088</v>
      </c>
      <c r="Y114" s="239" t="s">
        <v>3124</v>
      </c>
      <c r="Z114" t="s">
        <v>3114</v>
      </c>
      <c r="AA114" s="299">
        <v>31977</v>
      </c>
    </row>
    <row r="115" spans="17:27" ht="13.8">
      <c r="Q115" s="296">
        <f t="shared" si="1"/>
        <v>109</v>
      </c>
      <c r="R115" s="297" t="s">
        <v>1228</v>
      </c>
      <c r="S115" s="297" t="s">
        <v>1229</v>
      </c>
      <c r="T115" s="298" t="s">
        <v>1048</v>
      </c>
      <c r="U115" s="296" t="s">
        <v>1230</v>
      </c>
      <c r="V115" s="296" t="s">
        <v>3073</v>
      </c>
      <c r="W115" s="297" t="s">
        <v>3073</v>
      </c>
      <c r="X115" s="239" t="s">
        <v>2583</v>
      </c>
      <c r="Y115" s="239" t="s">
        <v>3127</v>
      </c>
      <c r="Z115" t="s">
        <v>3115</v>
      </c>
      <c r="AA115" s="299">
        <v>18460</v>
      </c>
    </row>
    <row r="116" spans="17:27" ht="13.8">
      <c r="Q116" s="296">
        <f t="shared" si="1"/>
        <v>110</v>
      </c>
      <c r="R116" s="297" t="s">
        <v>1231</v>
      </c>
      <c r="S116" s="297" t="s">
        <v>1232</v>
      </c>
      <c r="T116" s="298" t="s">
        <v>1073</v>
      </c>
      <c r="U116" s="296" t="s">
        <v>1233</v>
      </c>
      <c r="V116" s="296" t="s">
        <v>1232</v>
      </c>
      <c r="W116" s="297" t="s">
        <v>2871</v>
      </c>
      <c r="X116" s="239" t="s">
        <v>3088</v>
      </c>
      <c r="Y116" s="239" t="s">
        <v>3125</v>
      </c>
      <c r="Z116" t="s">
        <v>3107</v>
      </c>
      <c r="AA116" s="299">
        <v>1399</v>
      </c>
    </row>
    <row r="117" spans="17:27" ht="13.8">
      <c r="Q117" s="296">
        <f t="shared" si="1"/>
        <v>111</v>
      </c>
      <c r="R117" s="297" t="s">
        <v>1234</v>
      </c>
      <c r="S117" s="297" t="s">
        <v>1235</v>
      </c>
      <c r="T117" s="298" t="s">
        <v>908</v>
      </c>
      <c r="U117" s="296" t="s">
        <v>1236</v>
      </c>
      <c r="V117" s="296" t="s">
        <v>2632</v>
      </c>
      <c r="W117" s="297" t="s">
        <v>2632</v>
      </c>
      <c r="X117" s="239" t="s">
        <v>3089</v>
      </c>
      <c r="Y117" s="239" t="s">
        <v>3124</v>
      </c>
      <c r="Z117" t="s">
        <v>3105</v>
      </c>
      <c r="AA117" s="299">
        <v>17863</v>
      </c>
    </row>
    <row r="118" spans="17:27" ht="13.8">
      <c r="Q118" s="296">
        <f t="shared" si="1"/>
        <v>112</v>
      </c>
      <c r="R118" s="297" t="s">
        <v>1237</v>
      </c>
      <c r="S118" s="297" t="s">
        <v>1238</v>
      </c>
      <c r="T118" s="298" t="s">
        <v>1126</v>
      </c>
      <c r="U118" s="296" t="s">
        <v>1239</v>
      </c>
      <c r="V118" s="296" t="s">
        <v>2633</v>
      </c>
      <c r="W118" s="297" t="s">
        <v>2633</v>
      </c>
      <c r="X118" s="239" t="s">
        <v>3089</v>
      </c>
      <c r="Y118" s="239" t="s">
        <v>3124</v>
      </c>
      <c r="Z118" t="s">
        <v>3105</v>
      </c>
      <c r="AA118" s="299">
        <v>7637</v>
      </c>
    </row>
    <row r="119" spans="17:27" ht="13.8">
      <c r="Q119" s="296">
        <f t="shared" si="1"/>
        <v>113</v>
      </c>
      <c r="R119" s="297" t="s">
        <v>1240</v>
      </c>
      <c r="S119" s="297" t="s">
        <v>1241</v>
      </c>
      <c r="T119" s="298" t="s">
        <v>959</v>
      </c>
      <c r="U119" s="296" t="s">
        <v>1242</v>
      </c>
      <c r="V119" s="296" t="s">
        <v>1241</v>
      </c>
      <c r="W119" s="297" t="s">
        <v>2872</v>
      </c>
      <c r="X119" s="239" t="s">
        <v>3088</v>
      </c>
      <c r="Y119" s="239" t="s">
        <v>3125</v>
      </c>
      <c r="Z119" t="s">
        <v>3107</v>
      </c>
      <c r="AA119" s="299">
        <v>1722</v>
      </c>
    </row>
    <row r="120" spans="17:27" ht="13.8">
      <c r="Q120" s="296">
        <f t="shared" si="1"/>
        <v>114</v>
      </c>
      <c r="R120" s="297" t="s">
        <v>1243</v>
      </c>
      <c r="S120" s="297" t="s">
        <v>1244</v>
      </c>
      <c r="T120" s="298" t="s">
        <v>1025</v>
      </c>
      <c r="U120" s="296" t="s">
        <v>1245</v>
      </c>
      <c r="V120" s="296" t="s">
        <v>1244</v>
      </c>
      <c r="W120" s="297" t="s">
        <v>2873</v>
      </c>
      <c r="X120" s="239" t="s">
        <v>3088</v>
      </c>
      <c r="Y120" s="239" t="s">
        <v>3125</v>
      </c>
      <c r="Z120" t="s">
        <v>3110</v>
      </c>
      <c r="AA120" s="299">
        <v>3917</v>
      </c>
    </row>
    <row r="121" spans="17:27" ht="13.8">
      <c r="Q121" s="296">
        <f t="shared" si="1"/>
        <v>115</v>
      </c>
      <c r="R121" s="297" t="s">
        <v>1246</v>
      </c>
      <c r="S121" s="297" t="s">
        <v>1247</v>
      </c>
      <c r="T121" s="298" t="s">
        <v>1126</v>
      </c>
      <c r="U121" s="296" t="s">
        <v>1248</v>
      </c>
      <c r="V121" s="296" t="s">
        <v>1247</v>
      </c>
      <c r="W121" s="297" t="s">
        <v>2874</v>
      </c>
      <c r="X121" s="239" t="s">
        <v>3088</v>
      </c>
      <c r="Y121" s="239" t="s">
        <v>3124</v>
      </c>
      <c r="Z121" t="s">
        <v>3113</v>
      </c>
      <c r="AA121" s="299">
        <v>49715</v>
      </c>
    </row>
    <row r="122" spans="17:27" ht="13.8">
      <c r="Q122" s="296">
        <f t="shared" si="1"/>
        <v>116</v>
      </c>
      <c r="R122" s="297" t="s">
        <v>1249</v>
      </c>
      <c r="S122" s="297" t="s">
        <v>1250</v>
      </c>
      <c r="T122" s="298" t="s">
        <v>1160</v>
      </c>
      <c r="U122" s="296" t="s">
        <v>1251</v>
      </c>
      <c r="V122" s="296" t="s">
        <v>1250</v>
      </c>
      <c r="W122" s="297" t="s">
        <v>2875</v>
      </c>
      <c r="X122" s="239" t="s">
        <v>3088</v>
      </c>
      <c r="Y122" s="239" t="s">
        <v>3125</v>
      </c>
      <c r="Z122" t="s">
        <v>3110</v>
      </c>
      <c r="AA122" s="299">
        <v>11706</v>
      </c>
    </row>
    <row r="123" spans="17:27" ht="13.8">
      <c r="Q123" s="296">
        <f t="shared" si="1"/>
        <v>117</v>
      </c>
      <c r="R123" s="297" t="s">
        <v>1252</v>
      </c>
      <c r="S123" s="297" t="s">
        <v>1253</v>
      </c>
      <c r="T123" s="298" t="s">
        <v>1048</v>
      </c>
      <c r="U123" s="296" t="s">
        <v>1254</v>
      </c>
      <c r="V123" s="296" t="s">
        <v>1253</v>
      </c>
      <c r="W123" s="297" t="s">
        <v>2876</v>
      </c>
      <c r="X123" s="239" t="s">
        <v>3088</v>
      </c>
      <c r="Y123" s="239" t="s">
        <v>3124</v>
      </c>
      <c r="Z123" t="s">
        <v>3108</v>
      </c>
      <c r="AA123" s="299">
        <v>11105</v>
      </c>
    </row>
    <row r="124" spans="17:27" ht="13.8">
      <c r="Q124" s="296">
        <f t="shared" si="1"/>
        <v>118</v>
      </c>
      <c r="R124" s="297" t="s">
        <v>1255</v>
      </c>
      <c r="S124" s="297" t="s">
        <v>1256</v>
      </c>
      <c r="T124" s="298" t="s">
        <v>976</v>
      </c>
      <c r="U124" s="296" t="s">
        <v>1257</v>
      </c>
      <c r="V124" s="296" t="s">
        <v>2634</v>
      </c>
      <c r="W124" s="297" t="s">
        <v>2634</v>
      </c>
      <c r="X124" s="239" t="s">
        <v>3089</v>
      </c>
      <c r="Y124" s="239" t="s">
        <v>3124</v>
      </c>
      <c r="Z124" t="s">
        <v>3105</v>
      </c>
      <c r="AA124" s="299">
        <v>2594</v>
      </c>
    </row>
    <row r="125" spans="17:27" ht="13.8">
      <c r="Q125" s="296">
        <f t="shared" si="1"/>
        <v>119</v>
      </c>
      <c r="R125" s="297" t="s">
        <v>1258</v>
      </c>
      <c r="S125" s="297" t="s">
        <v>1259</v>
      </c>
      <c r="T125" s="298" t="s">
        <v>990</v>
      </c>
      <c r="U125" s="296" t="s">
        <v>1260</v>
      </c>
      <c r="V125" s="296" t="s">
        <v>3040</v>
      </c>
      <c r="W125" s="297" t="s">
        <v>3040</v>
      </c>
      <c r="X125" s="239" t="s">
        <v>3090</v>
      </c>
      <c r="Y125" s="239" t="s">
        <v>3124</v>
      </c>
      <c r="Z125" t="s">
        <v>3117</v>
      </c>
      <c r="AA125" s="299">
        <v>69612</v>
      </c>
    </row>
    <row r="126" spans="17:27" ht="13.8">
      <c r="Q126" s="296">
        <f t="shared" si="1"/>
        <v>120</v>
      </c>
      <c r="R126" s="297" t="s">
        <v>1261</v>
      </c>
      <c r="S126" s="297" t="s">
        <v>1262</v>
      </c>
      <c r="T126" s="298" t="s">
        <v>908</v>
      </c>
      <c r="U126" s="296" t="s">
        <v>1263</v>
      </c>
      <c r="V126" s="296" t="s">
        <v>2635</v>
      </c>
      <c r="W126" s="297" t="s">
        <v>2635</v>
      </c>
      <c r="X126" s="239" t="s">
        <v>3089</v>
      </c>
      <c r="Y126" s="239" t="s">
        <v>3124</v>
      </c>
      <c r="Z126" t="s">
        <v>3105</v>
      </c>
      <c r="AA126" s="299">
        <v>10022</v>
      </c>
    </row>
    <row r="127" spans="17:27" ht="13.8">
      <c r="Q127" s="296">
        <f t="shared" si="1"/>
        <v>121</v>
      </c>
      <c r="R127" s="297" t="s">
        <v>1264</v>
      </c>
      <c r="S127" s="297" t="s">
        <v>1265</v>
      </c>
      <c r="T127" s="298" t="s">
        <v>1266</v>
      </c>
      <c r="U127" s="296" t="s">
        <v>1267</v>
      </c>
      <c r="V127" s="296" t="s">
        <v>1265</v>
      </c>
      <c r="W127" s="297" t="s">
        <v>2877</v>
      </c>
      <c r="X127" s="239" t="s">
        <v>3088</v>
      </c>
      <c r="Y127" s="239" t="s">
        <v>3124</v>
      </c>
      <c r="Z127" t="s">
        <v>3114</v>
      </c>
      <c r="AA127" s="299">
        <v>30045</v>
      </c>
    </row>
    <row r="128" spans="17:27" ht="13.8">
      <c r="Q128" s="296">
        <f t="shared" si="1"/>
        <v>122</v>
      </c>
      <c r="R128" s="297" t="s">
        <v>1268</v>
      </c>
      <c r="S128" s="297" t="s">
        <v>1269</v>
      </c>
      <c r="T128" s="298" t="s">
        <v>969</v>
      </c>
      <c r="U128" s="296" t="s">
        <v>1270</v>
      </c>
      <c r="V128" s="296" t="s">
        <v>1269</v>
      </c>
      <c r="W128" s="297" t="s">
        <v>2878</v>
      </c>
      <c r="X128" s="239" t="s">
        <v>3088</v>
      </c>
      <c r="Y128" s="239" t="s">
        <v>3124</v>
      </c>
      <c r="Z128" t="s">
        <v>3111</v>
      </c>
      <c r="AA128" s="299">
        <v>6191</v>
      </c>
    </row>
    <row r="129" spans="17:27" ht="13.8">
      <c r="Q129" s="296">
        <f t="shared" si="1"/>
        <v>123</v>
      </c>
      <c r="R129" s="297" t="s">
        <v>1271</v>
      </c>
      <c r="S129" s="297" t="s">
        <v>1272</v>
      </c>
      <c r="T129" s="298" t="s">
        <v>900</v>
      </c>
      <c r="U129" s="296" t="s">
        <v>1273</v>
      </c>
      <c r="V129" s="296" t="s">
        <v>2636</v>
      </c>
      <c r="W129" s="297" t="s">
        <v>2636</v>
      </c>
      <c r="X129" s="239" t="s">
        <v>3089</v>
      </c>
      <c r="Y129" s="239" t="s">
        <v>3124</v>
      </c>
      <c r="Z129" t="s">
        <v>3105</v>
      </c>
      <c r="AA129" s="299">
        <v>13597</v>
      </c>
    </row>
    <row r="130" spans="17:27" ht="13.8">
      <c r="Q130" s="296">
        <f t="shared" si="1"/>
        <v>124</v>
      </c>
      <c r="R130" s="297" t="s">
        <v>1274</v>
      </c>
      <c r="S130" s="297" t="s">
        <v>1275</v>
      </c>
      <c r="T130" s="298" t="s">
        <v>908</v>
      </c>
      <c r="U130" s="296" t="s">
        <v>1276</v>
      </c>
      <c r="V130" s="296" t="s">
        <v>2637</v>
      </c>
      <c r="W130" s="297" t="s">
        <v>2637</v>
      </c>
      <c r="X130" s="239" t="s">
        <v>3089</v>
      </c>
      <c r="Y130" s="239" t="s">
        <v>3124</v>
      </c>
      <c r="Z130" t="s">
        <v>3105</v>
      </c>
      <c r="AA130" s="299">
        <v>14336</v>
      </c>
    </row>
    <row r="131" spans="17:27" ht="13.8">
      <c r="Q131" s="296">
        <f t="shared" si="1"/>
        <v>125</v>
      </c>
      <c r="R131" s="297" t="s">
        <v>1277</v>
      </c>
      <c r="S131" s="297" t="s">
        <v>1278</v>
      </c>
      <c r="T131" s="298" t="s">
        <v>969</v>
      </c>
      <c r="U131" s="296" t="s">
        <v>1279</v>
      </c>
      <c r="V131" s="296" t="s">
        <v>1278</v>
      </c>
      <c r="W131" s="297" t="s">
        <v>2879</v>
      </c>
      <c r="X131" s="239" t="s">
        <v>3088</v>
      </c>
      <c r="Y131" s="239" t="s">
        <v>3125</v>
      </c>
      <c r="Z131" t="s">
        <v>3110</v>
      </c>
      <c r="AA131" s="299">
        <v>8930</v>
      </c>
    </row>
    <row r="132" spans="17:27" ht="13.8">
      <c r="Q132" s="296">
        <f t="shared" si="1"/>
        <v>126</v>
      </c>
      <c r="R132" s="297" t="s">
        <v>1280</v>
      </c>
      <c r="S132" s="297" t="s">
        <v>1281</v>
      </c>
      <c r="T132" s="298" t="s">
        <v>1126</v>
      </c>
      <c r="U132" s="296" t="s">
        <v>1282</v>
      </c>
      <c r="V132" s="296" t="s">
        <v>1281</v>
      </c>
      <c r="W132" s="297" t="s">
        <v>2880</v>
      </c>
      <c r="X132" s="239" t="s">
        <v>3088</v>
      </c>
      <c r="Y132" s="239" t="s">
        <v>3124</v>
      </c>
      <c r="Z132" t="s">
        <v>3106</v>
      </c>
      <c r="AA132" s="299">
        <v>107588</v>
      </c>
    </row>
    <row r="133" spans="17:27" ht="13.8">
      <c r="Q133" s="296">
        <f t="shared" si="1"/>
        <v>127</v>
      </c>
      <c r="R133" s="297" t="s">
        <v>1283</v>
      </c>
      <c r="S133" s="297" t="s">
        <v>1284</v>
      </c>
      <c r="T133" s="298" t="s">
        <v>904</v>
      </c>
      <c r="U133" s="296" t="s">
        <v>1285</v>
      </c>
      <c r="V133" s="296" t="s">
        <v>1284</v>
      </c>
      <c r="W133" s="297" t="s">
        <v>1284</v>
      </c>
      <c r="X133" s="239" t="s">
        <v>3090</v>
      </c>
      <c r="Y133" s="239" t="s">
        <v>3124</v>
      </c>
      <c r="Z133" t="s">
        <v>3112</v>
      </c>
      <c r="AA133" s="299">
        <v>4396</v>
      </c>
    </row>
    <row r="134" spans="17:27" ht="13.8">
      <c r="Q134" s="296">
        <f t="shared" si="1"/>
        <v>128</v>
      </c>
      <c r="R134" s="297" t="s">
        <v>1286</v>
      </c>
      <c r="S134" s="297" t="s">
        <v>1287</v>
      </c>
      <c r="T134" s="298" t="s">
        <v>904</v>
      </c>
      <c r="U134" s="296" t="s">
        <v>1288</v>
      </c>
      <c r="V134" s="296" t="s">
        <v>1287</v>
      </c>
      <c r="W134" s="297" t="s">
        <v>2881</v>
      </c>
      <c r="X134" s="239" t="s">
        <v>3088</v>
      </c>
      <c r="Y134" s="239" t="s">
        <v>3125</v>
      </c>
      <c r="Z134" t="s">
        <v>3110</v>
      </c>
      <c r="AA134" s="299">
        <v>47842</v>
      </c>
    </row>
    <row r="135" spans="17:27" ht="13.8">
      <c r="Q135" s="296">
        <f t="shared" si="1"/>
        <v>129</v>
      </c>
      <c r="R135" s="297" t="s">
        <v>1289</v>
      </c>
      <c r="S135" s="297" t="s">
        <v>1290</v>
      </c>
      <c r="T135" s="298" t="s">
        <v>1006</v>
      </c>
      <c r="U135" s="296" t="s">
        <v>1291</v>
      </c>
      <c r="V135" s="296" t="s">
        <v>3041</v>
      </c>
      <c r="W135" s="297" t="s">
        <v>3041</v>
      </c>
      <c r="X135" s="239" t="s">
        <v>3090</v>
      </c>
      <c r="Y135" s="239" t="s">
        <v>3124</v>
      </c>
      <c r="Z135" t="s">
        <v>3112</v>
      </c>
      <c r="AA135" s="299">
        <v>137298</v>
      </c>
    </row>
    <row r="136" spans="17:27" ht="13.8">
      <c r="Q136" s="296">
        <f t="shared" si="1"/>
        <v>130</v>
      </c>
      <c r="R136" s="297" t="s">
        <v>1292</v>
      </c>
      <c r="S136" s="297" t="s">
        <v>1293</v>
      </c>
      <c r="T136" s="298" t="s">
        <v>1160</v>
      </c>
      <c r="U136" s="296" t="s">
        <v>1294</v>
      </c>
      <c r="V136" s="296" t="s">
        <v>1293</v>
      </c>
      <c r="W136" s="297" t="s">
        <v>2882</v>
      </c>
      <c r="X136" s="239" t="s">
        <v>3088</v>
      </c>
      <c r="Y136" s="239" t="s">
        <v>3125</v>
      </c>
      <c r="Z136" t="s">
        <v>3110</v>
      </c>
      <c r="AA136" s="299">
        <v>4424</v>
      </c>
    </row>
    <row r="137" spans="17:27" ht="13.8">
      <c r="Q137" s="296">
        <f t="shared" si="1"/>
        <v>131</v>
      </c>
      <c r="R137" s="297" t="s">
        <v>1295</v>
      </c>
      <c r="S137" s="297" t="s">
        <v>1296</v>
      </c>
      <c r="T137" s="298" t="s">
        <v>918</v>
      </c>
      <c r="U137" s="296" t="s">
        <v>1297</v>
      </c>
      <c r="V137" s="296" t="s">
        <v>2638</v>
      </c>
      <c r="W137" s="297" t="s">
        <v>2638</v>
      </c>
      <c r="X137" s="239" t="s">
        <v>3089</v>
      </c>
      <c r="Y137" s="239" t="s">
        <v>3124</v>
      </c>
      <c r="Z137" t="s">
        <v>3105</v>
      </c>
      <c r="AA137" s="299">
        <v>1347</v>
      </c>
    </row>
    <row r="138" spans="17:27" ht="13.8">
      <c r="Q138" s="296">
        <f t="shared" si="1"/>
        <v>132</v>
      </c>
      <c r="R138" s="297" t="s">
        <v>1298</v>
      </c>
      <c r="S138" s="297" t="s">
        <v>1299</v>
      </c>
      <c r="T138" s="298" t="s">
        <v>908</v>
      </c>
      <c r="U138" s="296" t="s">
        <v>1300</v>
      </c>
      <c r="V138" s="296" t="s">
        <v>2639</v>
      </c>
      <c r="W138" s="297" t="s">
        <v>2639</v>
      </c>
      <c r="X138" s="239" t="s">
        <v>3089</v>
      </c>
      <c r="Y138" s="239" t="s">
        <v>3124</v>
      </c>
      <c r="Z138" t="s">
        <v>3105</v>
      </c>
      <c r="AA138" s="299">
        <v>21422</v>
      </c>
    </row>
    <row r="139" spans="17:27" ht="13.8">
      <c r="Q139" s="296">
        <f t="shared" ref="Q139:Q202" si="2">Q138+1</f>
        <v>133</v>
      </c>
      <c r="R139" s="297" t="s">
        <v>1301</v>
      </c>
      <c r="S139" s="297" t="s">
        <v>1302</v>
      </c>
      <c r="T139" s="298" t="s">
        <v>918</v>
      </c>
      <c r="U139" s="296" t="s">
        <v>1303</v>
      </c>
      <c r="V139" s="296" t="s">
        <v>1302</v>
      </c>
      <c r="W139" s="297" t="s">
        <v>2883</v>
      </c>
      <c r="X139" s="239" t="s">
        <v>3088</v>
      </c>
      <c r="Y139" s="239" t="s">
        <v>3125</v>
      </c>
      <c r="Z139" t="s">
        <v>3107</v>
      </c>
      <c r="AA139" s="299">
        <v>1001</v>
      </c>
    </row>
    <row r="140" spans="17:27" ht="13.8">
      <c r="Q140" s="296">
        <f t="shared" si="2"/>
        <v>134</v>
      </c>
      <c r="R140" s="297" t="s">
        <v>1304</v>
      </c>
      <c r="S140" s="297" t="s">
        <v>1305</v>
      </c>
      <c r="T140" s="298" t="s">
        <v>908</v>
      </c>
      <c r="U140" s="296" t="s">
        <v>1306</v>
      </c>
      <c r="V140" s="296" t="s">
        <v>2640</v>
      </c>
      <c r="W140" s="297" t="s">
        <v>2640</v>
      </c>
      <c r="X140" s="239" t="s">
        <v>3089</v>
      </c>
      <c r="Y140" s="239" t="s">
        <v>3124</v>
      </c>
      <c r="Z140" t="s">
        <v>3105</v>
      </c>
      <c r="AA140" s="299">
        <v>7290</v>
      </c>
    </row>
    <row r="141" spans="17:27" ht="13.8">
      <c r="Q141" s="296">
        <f t="shared" si="2"/>
        <v>135</v>
      </c>
      <c r="R141" s="297" t="s">
        <v>1307</v>
      </c>
      <c r="S141" s="297" t="s">
        <v>1308</v>
      </c>
      <c r="T141" s="298" t="s">
        <v>908</v>
      </c>
      <c r="U141" s="296" t="s">
        <v>1309</v>
      </c>
      <c r="V141" s="296" t="s">
        <v>3042</v>
      </c>
      <c r="W141" s="297" t="s">
        <v>3042</v>
      </c>
      <c r="X141" s="239" t="s">
        <v>3090</v>
      </c>
      <c r="Y141" s="239" t="s">
        <v>3124</v>
      </c>
      <c r="Z141" t="s">
        <v>3113</v>
      </c>
      <c r="AA141" s="299">
        <v>29308</v>
      </c>
    </row>
    <row r="142" spans="17:27" ht="13.8">
      <c r="Q142" s="296">
        <f t="shared" si="2"/>
        <v>136</v>
      </c>
      <c r="R142" s="297" t="s">
        <v>1310</v>
      </c>
      <c r="S142" s="297" t="s">
        <v>1311</v>
      </c>
      <c r="T142" s="298" t="s">
        <v>908</v>
      </c>
      <c r="U142" s="296" t="s">
        <v>1312</v>
      </c>
      <c r="V142" s="296" t="s">
        <v>2641</v>
      </c>
      <c r="W142" s="297" t="s">
        <v>2641</v>
      </c>
      <c r="X142" s="239" t="s">
        <v>3089</v>
      </c>
      <c r="Y142" s="239" t="s">
        <v>3124</v>
      </c>
      <c r="Z142" t="s">
        <v>3105</v>
      </c>
      <c r="AA142" s="299">
        <v>5342</v>
      </c>
    </row>
    <row r="143" spans="17:27" ht="13.8">
      <c r="Q143" s="296">
        <f t="shared" si="2"/>
        <v>137</v>
      </c>
      <c r="R143" s="297" t="s">
        <v>1313</v>
      </c>
      <c r="S143" s="297" t="s">
        <v>1314</v>
      </c>
      <c r="T143" s="298" t="s">
        <v>900</v>
      </c>
      <c r="U143" s="296" t="s">
        <v>1315</v>
      </c>
      <c r="V143" s="296" t="s">
        <v>2642</v>
      </c>
      <c r="W143" s="297" t="s">
        <v>2642</v>
      </c>
      <c r="X143" s="239" t="s">
        <v>3089</v>
      </c>
      <c r="Y143" s="239" t="s">
        <v>3124</v>
      </c>
      <c r="Z143" t="s">
        <v>3105</v>
      </c>
      <c r="AA143" s="299">
        <v>2346</v>
      </c>
    </row>
    <row r="144" spans="17:27" ht="13.8">
      <c r="Q144" s="296">
        <f t="shared" si="2"/>
        <v>138</v>
      </c>
      <c r="R144" s="297" t="s">
        <v>1316</v>
      </c>
      <c r="S144" s="297" t="s">
        <v>1317</v>
      </c>
      <c r="T144" s="298" t="s">
        <v>990</v>
      </c>
      <c r="U144" s="296" t="s">
        <v>1318</v>
      </c>
      <c r="V144" s="296" t="s">
        <v>1317</v>
      </c>
      <c r="W144" s="297" t="s">
        <v>2884</v>
      </c>
      <c r="X144" s="239" t="s">
        <v>3088</v>
      </c>
      <c r="Y144" s="239" t="s">
        <v>3124</v>
      </c>
      <c r="Z144" t="s">
        <v>3105</v>
      </c>
      <c r="AA144" s="299">
        <v>2244</v>
      </c>
    </row>
    <row r="145" spans="17:27" ht="13.8">
      <c r="Q145" s="296">
        <f t="shared" si="2"/>
        <v>139</v>
      </c>
      <c r="R145" s="297" t="s">
        <v>1319</v>
      </c>
      <c r="S145" s="297" t="s">
        <v>1320</v>
      </c>
      <c r="T145" s="298" t="s">
        <v>904</v>
      </c>
      <c r="U145" s="296" t="s">
        <v>1321</v>
      </c>
      <c r="V145" s="296" t="s">
        <v>3043</v>
      </c>
      <c r="W145" s="297" t="s">
        <v>3043</v>
      </c>
      <c r="X145" s="239" t="s">
        <v>3090</v>
      </c>
      <c r="Y145" s="239" t="s">
        <v>3124</v>
      </c>
      <c r="Z145" t="s">
        <v>3111</v>
      </c>
      <c r="AA145" s="299">
        <v>1668</v>
      </c>
    </row>
    <row r="146" spans="17:27" ht="13.8">
      <c r="Q146" s="296">
        <f t="shared" si="2"/>
        <v>140</v>
      </c>
      <c r="R146" s="297" t="s">
        <v>1322</v>
      </c>
      <c r="S146" s="297" t="s">
        <v>1323</v>
      </c>
      <c r="T146" s="298" t="s">
        <v>969</v>
      </c>
      <c r="U146" s="296" t="s">
        <v>1324</v>
      </c>
      <c r="V146" s="296" t="s">
        <v>1323</v>
      </c>
      <c r="W146" s="297" t="s">
        <v>2885</v>
      </c>
      <c r="X146" s="239" t="s">
        <v>3088</v>
      </c>
      <c r="Y146" s="239" t="s">
        <v>3124</v>
      </c>
      <c r="Z146" t="s">
        <v>3108</v>
      </c>
      <c r="AA146" s="299">
        <v>46826</v>
      </c>
    </row>
    <row r="147" spans="17:27" ht="13.8">
      <c r="Q147" s="296">
        <f t="shared" si="2"/>
        <v>141</v>
      </c>
      <c r="R147" s="297" t="s">
        <v>1325</v>
      </c>
      <c r="S147" s="297" t="s">
        <v>1326</v>
      </c>
      <c r="T147" s="298" t="s">
        <v>1266</v>
      </c>
      <c r="U147" s="296" t="s">
        <v>1327</v>
      </c>
      <c r="V147" s="296" t="s">
        <v>1326</v>
      </c>
      <c r="W147" s="297" t="s">
        <v>2886</v>
      </c>
      <c r="X147" s="239" t="s">
        <v>3088</v>
      </c>
      <c r="Y147" s="239" t="s">
        <v>3124</v>
      </c>
      <c r="Z147" t="s">
        <v>3113</v>
      </c>
      <c r="AA147" s="299">
        <v>37264</v>
      </c>
    </row>
    <row r="148" spans="17:27" ht="13.8">
      <c r="Q148" s="296">
        <f t="shared" si="2"/>
        <v>142</v>
      </c>
      <c r="R148" s="297" t="s">
        <v>1328</v>
      </c>
      <c r="S148" s="297" t="s">
        <v>1329</v>
      </c>
      <c r="T148" s="298" t="s">
        <v>900</v>
      </c>
      <c r="U148" s="296" t="s">
        <v>1330</v>
      </c>
      <c r="V148" s="296" t="s">
        <v>2643</v>
      </c>
      <c r="W148" s="297" t="s">
        <v>2643</v>
      </c>
      <c r="X148" s="239" t="s">
        <v>3089</v>
      </c>
      <c r="Y148" s="239" t="s">
        <v>3124</v>
      </c>
      <c r="Z148" t="s">
        <v>3105</v>
      </c>
      <c r="AA148" s="299">
        <v>6269</v>
      </c>
    </row>
    <row r="149" spans="17:27" ht="13.8">
      <c r="Q149" s="296">
        <f t="shared" si="2"/>
        <v>143</v>
      </c>
      <c r="R149" s="297" t="s">
        <v>1331</v>
      </c>
      <c r="S149" s="297" t="s">
        <v>1332</v>
      </c>
      <c r="T149" s="298" t="s">
        <v>908</v>
      </c>
      <c r="U149" s="296" t="s">
        <v>1333</v>
      </c>
      <c r="V149" s="296" t="s">
        <v>2644</v>
      </c>
      <c r="W149" s="297" t="s">
        <v>2644</v>
      </c>
      <c r="X149" s="239" t="s">
        <v>3089</v>
      </c>
      <c r="Y149" s="239" t="s">
        <v>3124</v>
      </c>
      <c r="Z149" t="s">
        <v>3111</v>
      </c>
      <c r="AA149" s="299">
        <v>34927</v>
      </c>
    </row>
    <row r="150" spans="17:27" ht="13.8">
      <c r="Q150" s="296">
        <f t="shared" si="2"/>
        <v>144</v>
      </c>
      <c r="R150" s="297" t="s">
        <v>1334</v>
      </c>
      <c r="S150" s="298" t="s">
        <v>1335</v>
      </c>
      <c r="T150" s="298" t="s">
        <v>1073</v>
      </c>
      <c r="U150" s="296" t="s">
        <v>1336</v>
      </c>
      <c r="V150" s="296" t="s">
        <v>1335</v>
      </c>
      <c r="W150" s="298" t="s">
        <v>2887</v>
      </c>
      <c r="X150" s="239" t="s">
        <v>3088</v>
      </c>
      <c r="Y150" s="239" t="s">
        <v>3125</v>
      </c>
      <c r="Z150" t="s">
        <v>3110</v>
      </c>
      <c r="AA150" s="299">
        <v>5546</v>
      </c>
    </row>
    <row r="151" spans="17:27" ht="13.8">
      <c r="Q151" s="296">
        <f t="shared" si="2"/>
        <v>145</v>
      </c>
      <c r="R151" s="297" t="s">
        <v>1337</v>
      </c>
      <c r="S151" s="298" t="s">
        <v>1335</v>
      </c>
      <c r="T151" s="298" t="s">
        <v>990</v>
      </c>
      <c r="U151" s="296" t="s">
        <v>1338</v>
      </c>
      <c r="V151" s="296" t="s">
        <v>1335</v>
      </c>
      <c r="W151" s="298" t="s">
        <v>2887</v>
      </c>
      <c r="X151" s="239" t="s">
        <v>3088</v>
      </c>
      <c r="Y151" s="239" t="s">
        <v>3124</v>
      </c>
      <c r="Z151" t="s">
        <v>3108</v>
      </c>
      <c r="AA151" s="299">
        <v>7872</v>
      </c>
    </row>
    <row r="152" spans="17:27" ht="13.8">
      <c r="Q152" s="296">
        <f t="shared" si="2"/>
        <v>146</v>
      </c>
      <c r="R152" s="297" t="s">
        <v>1339</v>
      </c>
      <c r="S152" s="297" t="s">
        <v>1340</v>
      </c>
      <c r="T152" s="298" t="s">
        <v>908</v>
      </c>
      <c r="U152" s="296" t="s">
        <v>1341</v>
      </c>
      <c r="V152" s="296" t="s">
        <v>2645</v>
      </c>
      <c r="W152" s="297" t="s">
        <v>2645</v>
      </c>
      <c r="X152" s="239" t="s">
        <v>3089</v>
      </c>
      <c r="Y152" s="239" t="s">
        <v>3124</v>
      </c>
      <c r="Z152" t="s">
        <v>3105</v>
      </c>
      <c r="AA152" s="299">
        <v>15025</v>
      </c>
    </row>
    <row r="153" spans="17:27" ht="13.8">
      <c r="Q153" s="296">
        <f t="shared" si="2"/>
        <v>147</v>
      </c>
      <c r="R153" s="297" t="s">
        <v>1342</v>
      </c>
      <c r="S153" s="297" t="s">
        <v>1343</v>
      </c>
      <c r="T153" s="298" t="s">
        <v>1006</v>
      </c>
      <c r="U153" s="296" t="s">
        <v>1344</v>
      </c>
      <c r="V153" s="296" t="s">
        <v>2646</v>
      </c>
      <c r="W153" s="297" t="s">
        <v>2646</v>
      </c>
      <c r="X153" s="239" t="s">
        <v>3089</v>
      </c>
      <c r="Y153" s="239" t="s">
        <v>3124</v>
      </c>
      <c r="Z153" t="s">
        <v>3105</v>
      </c>
      <c r="AA153" s="299">
        <v>7774</v>
      </c>
    </row>
    <row r="154" spans="17:27" ht="13.8">
      <c r="Q154" s="296">
        <f t="shared" si="2"/>
        <v>148</v>
      </c>
      <c r="R154" s="297" t="s">
        <v>1345</v>
      </c>
      <c r="S154" s="297" t="s">
        <v>1346</v>
      </c>
      <c r="T154" s="298" t="s">
        <v>986</v>
      </c>
      <c r="U154" s="296" t="s">
        <v>1347</v>
      </c>
      <c r="V154" s="296" t="s">
        <v>2647</v>
      </c>
      <c r="W154" s="297" t="s">
        <v>2647</v>
      </c>
      <c r="X154" s="239" t="s">
        <v>3089</v>
      </c>
      <c r="Y154" s="239" t="s">
        <v>3124</v>
      </c>
      <c r="Z154" t="s">
        <v>3105</v>
      </c>
      <c r="AA154" s="299">
        <v>924</v>
      </c>
    </row>
    <row r="155" spans="17:27" ht="13.8">
      <c r="Q155" s="296">
        <f t="shared" si="2"/>
        <v>149</v>
      </c>
      <c r="R155" s="297" t="s">
        <v>1348</v>
      </c>
      <c r="S155" s="297" t="s">
        <v>1349</v>
      </c>
      <c r="T155" s="298" t="s">
        <v>900</v>
      </c>
      <c r="U155" s="296" t="s">
        <v>1350</v>
      </c>
      <c r="V155" s="296" t="s">
        <v>2648</v>
      </c>
      <c r="W155" s="297" t="s">
        <v>2648</v>
      </c>
      <c r="X155" s="239" t="s">
        <v>3089</v>
      </c>
      <c r="Y155" s="239" t="s">
        <v>3124</v>
      </c>
      <c r="Z155" t="s">
        <v>3105</v>
      </c>
      <c r="AA155" s="299">
        <v>1504</v>
      </c>
    </row>
    <row r="156" spans="17:27" ht="13.8">
      <c r="Q156" s="296">
        <f t="shared" si="2"/>
        <v>150</v>
      </c>
      <c r="R156" s="297" t="s">
        <v>1351</v>
      </c>
      <c r="S156" s="297" t="s">
        <v>1352</v>
      </c>
      <c r="T156" s="298" t="s">
        <v>969</v>
      </c>
      <c r="U156" s="296" t="s">
        <v>1353</v>
      </c>
      <c r="V156" s="296" t="s">
        <v>2649</v>
      </c>
      <c r="W156" s="297" t="s">
        <v>2649</v>
      </c>
      <c r="X156" s="239" t="s">
        <v>3089</v>
      </c>
      <c r="Y156" s="239" t="s">
        <v>3124</v>
      </c>
      <c r="Z156" t="s">
        <v>3105</v>
      </c>
      <c r="AA156" s="299">
        <v>526</v>
      </c>
    </row>
    <row r="157" spans="17:27" ht="13.8">
      <c r="Q157" s="296">
        <f t="shared" si="2"/>
        <v>151</v>
      </c>
      <c r="R157" s="297" t="s">
        <v>1354</v>
      </c>
      <c r="S157" s="297" t="s">
        <v>1355</v>
      </c>
      <c r="T157" s="298" t="s">
        <v>1025</v>
      </c>
      <c r="U157" s="296" t="s">
        <v>1356</v>
      </c>
      <c r="V157" s="296" t="s">
        <v>2650</v>
      </c>
      <c r="W157" s="297" t="s">
        <v>2650</v>
      </c>
      <c r="X157" s="239" t="s">
        <v>3089</v>
      </c>
      <c r="Y157" s="239" t="s">
        <v>3124</v>
      </c>
      <c r="Z157" t="s">
        <v>3105</v>
      </c>
      <c r="AA157" s="299">
        <v>4876</v>
      </c>
    </row>
    <row r="158" spans="17:27" ht="13.8">
      <c r="Q158" s="296">
        <f t="shared" si="2"/>
        <v>152</v>
      </c>
      <c r="R158" s="297" t="s">
        <v>1357</v>
      </c>
      <c r="S158" s="297" t="s">
        <v>1358</v>
      </c>
      <c r="T158" s="298" t="s">
        <v>969</v>
      </c>
      <c r="U158" s="296" t="s">
        <v>1359</v>
      </c>
      <c r="V158" s="296" t="s">
        <v>1358</v>
      </c>
      <c r="W158" s="297" t="s">
        <v>2888</v>
      </c>
      <c r="X158" s="239" t="s">
        <v>3088</v>
      </c>
      <c r="Y158" s="239" t="s">
        <v>3124</v>
      </c>
      <c r="Z158" t="s">
        <v>3113</v>
      </c>
      <c r="AA158" s="299">
        <v>12812</v>
      </c>
    </row>
    <row r="159" spans="17:27" ht="13.8">
      <c r="Q159" s="296">
        <f t="shared" si="2"/>
        <v>153</v>
      </c>
      <c r="R159" s="297" t="s">
        <v>1360</v>
      </c>
      <c r="S159" s="297" t="s">
        <v>1361</v>
      </c>
      <c r="T159" s="298" t="s">
        <v>1048</v>
      </c>
      <c r="U159" s="296" t="s">
        <v>1362</v>
      </c>
      <c r="V159" s="296" t="s">
        <v>2651</v>
      </c>
      <c r="W159" s="297" t="s">
        <v>2651</v>
      </c>
      <c r="X159" s="239" t="s">
        <v>3089</v>
      </c>
      <c r="Y159" s="239" t="s">
        <v>3124</v>
      </c>
      <c r="Z159" t="s">
        <v>3105</v>
      </c>
      <c r="AA159" s="299">
        <v>12585</v>
      </c>
    </row>
    <row r="160" spans="17:27" ht="13.8">
      <c r="Q160" s="296">
        <f t="shared" si="2"/>
        <v>154</v>
      </c>
      <c r="R160" s="297" t="s">
        <v>1363</v>
      </c>
      <c r="S160" s="297" t="s">
        <v>1364</v>
      </c>
      <c r="T160" s="298" t="s">
        <v>904</v>
      </c>
      <c r="U160" s="296" t="s">
        <v>1365</v>
      </c>
      <c r="V160" s="296" t="s">
        <v>2652</v>
      </c>
      <c r="W160" s="297" t="s">
        <v>2652</v>
      </c>
      <c r="X160" s="239" t="s">
        <v>3089</v>
      </c>
      <c r="Y160" s="239" t="s">
        <v>3124</v>
      </c>
      <c r="Z160" t="s">
        <v>3105</v>
      </c>
      <c r="AA160" s="299">
        <v>1811</v>
      </c>
    </row>
    <row r="161" spans="17:27" ht="13.8">
      <c r="Q161" s="296">
        <f t="shared" si="2"/>
        <v>155</v>
      </c>
      <c r="R161" s="297" t="s">
        <v>1366</v>
      </c>
      <c r="S161" s="297" t="s">
        <v>1367</v>
      </c>
      <c r="T161" s="298" t="s">
        <v>908</v>
      </c>
      <c r="U161" s="296" t="s">
        <v>1368</v>
      </c>
      <c r="V161" s="296" t="s">
        <v>2653</v>
      </c>
      <c r="W161" s="297" t="s">
        <v>2653</v>
      </c>
      <c r="X161" s="239" t="s">
        <v>3089</v>
      </c>
      <c r="Y161" s="239" t="s">
        <v>3124</v>
      </c>
      <c r="Z161" t="s">
        <v>3105</v>
      </c>
      <c r="AA161" s="299">
        <v>40191</v>
      </c>
    </row>
    <row r="162" spans="17:27" ht="13.8">
      <c r="Q162" s="296">
        <f t="shared" si="2"/>
        <v>156</v>
      </c>
      <c r="R162" s="297" t="s">
        <v>1369</v>
      </c>
      <c r="S162" s="297" t="s">
        <v>1370</v>
      </c>
      <c r="T162" s="298" t="s">
        <v>929</v>
      </c>
      <c r="U162" s="296" t="s">
        <v>1371</v>
      </c>
      <c r="V162" s="296" t="s">
        <v>1370</v>
      </c>
      <c r="W162" s="297" t="s">
        <v>2889</v>
      </c>
      <c r="X162" s="239" t="s">
        <v>3088</v>
      </c>
      <c r="Y162" s="239" t="s">
        <v>3125</v>
      </c>
      <c r="Z162" t="s">
        <v>3107</v>
      </c>
      <c r="AA162" s="299">
        <v>5302</v>
      </c>
    </row>
    <row r="163" spans="17:27" ht="13.8">
      <c r="Q163" s="296">
        <f t="shared" si="2"/>
        <v>157</v>
      </c>
      <c r="R163" s="297" t="s">
        <v>1372</v>
      </c>
      <c r="S163" s="297" t="s">
        <v>1373</v>
      </c>
      <c r="T163" s="298" t="s">
        <v>929</v>
      </c>
      <c r="U163" s="296" t="s">
        <v>1374</v>
      </c>
      <c r="V163" s="296" t="s">
        <v>2654</v>
      </c>
      <c r="W163" s="297" t="s">
        <v>2654</v>
      </c>
      <c r="X163" s="239" t="s">
        <v>3089</v>
      </c>
      <c r="Y163" s="239" t="s">
        <v>3124</v>
      </c>
      <c r="Z163" t="s">
        <v>3105</v>
      </c>
      <c r="AA163" s="299">
        <v>4912</v>
      </c>
    </row>
    <row r="164" spans="17:27" ht="13.8">
      <c r="Q164" s="296">
        <f t="shared" si="2"/>
        <v>158</v>
      </c>
      <c r="R164" s="297" t="s">
        <v>1375</v>
      </c>
      <c r="S164" s="297" t="s">
        <v>1376</v>
      </c>
      <c r="T164" s="298" t="s">
        <v>908</v>
      </c>
      <c r="U164" s="296" t="s">
        <v>1377</v>
      </c>
      <c r="V164" s="296" t="s">
        <v>2655</v>
      </c>
      <c r="W164" s="297" t="s">
        <v>2655</v>
      </c>
      <c r="X164" s="239" t="s">
        <v>3089</v>
      </c>
      <c r="Y164" s="239" t="s">
        <v>3124</v>
      </c>
      <c r="Z164" t="s">
        <v>3105</v>
      </c>
      <c r="AA164" s="299">
        <v>11079</v>
      </c>
    </row>
    <row r="165" spans="17:27" ht="13.8">
      <c r="Q165" s="296">
        <f t="shared" si="2"/>
        <v>159</v>
      </c>
      <c r="R165" s="297" t="s">
        <v>1378</v>
      </c>
      <c r="S165" s="297" t="s">
        <v>1379</v>
      </c>
      <c r="T165" s="298" t="s">
        <v>1160</v>
      </c>
      <c r="U165" s="296" t="s">
        <v>1380</v>
      </c>
      <c r="V165" s="296" t="s">
        <v>1379</v>
      </c>
      <c r="W165" s="297" t="s">
        <v>2654</v>
      </c>
      <c r="X165" s="239" t="s">
        <v>3088</v>
      </c>
      <c r="Y165" s="239" t="s">
        <v>3125</v>
      </c>
      <c r="Z165" t="s">
        <v>3110</v>
      </c>
      <c r="AA165" s="299">
        <v>16380</v>
      </c>
    </row>
    <row r="166" spans="17:27" ht="13.8">
      <c r="Q166" s="296">
        <f t="shared" si="2"/>
        <v>160</v>
      </c>
      <c r="R166" s="297" t="s">
        <v>1381</v>
      </c>
      <c r="S166" s="297" t="s">
        <v>1379</v>
      </c>
      <c r="T166" s="298" t="s">
        <v>1025</v>
      </c>
      <c r="U166" s="296" t="s">
        <v>1382</v>
      </c>
      <c r="V166" s="296" t="s">
        <v>1379</v>
      </c>
      <c r="W166" s="297" t="s">
        <v>2654</v>
      </c>
      <c r="X166" s="239" t="s">
        <v>3088</v>
      </c>
      <c r="Y166" s="239" t="s">
        <v>3125</v>
      </c>
      <c r="Z166" t="s">
        <v>3110</v>
      </c>
      <c r="AA166" s="299">
        <v>3267</v>
      </c>
    </row>
    <row r="167" spans="17:27" ht="13.8">
      <c r="Q167" s="296">
        <f t="shared" si="2"/>
        <v>161</v>
      </c>
      <c r="R167" s="297" t="s">
        <v>1383</v>
      </c>
      <c r="S167" s="297" t="s">
        <v>1379</v>
      </c>
      <c r="T167" s="298" t="s">
        <v>986</v>
      </c>
      <c r="U167" s="296" t="s">
        <v>1384</v>
      </c>
      <c r="V167" s="296" t="s">
        <v>1379</v>
      </c>
      <c r="W167" s="297" t="s">
        <v>2654</v>
      </c>
      <c r="X167" s="239" t="s">
        <v>3088</v>
      </c>
      <c r="Y167" s="239" t="s">
        <v>3124</v>
      </c>
      <c r="Z167" t="s">
        <v>3118</v>
      </c>
      <c r="AA167" s="299">
        <v>68364</v>
      </c>
    </row>
    <row r="168" spans="17:27" ht="13.8">
      <c r="Q168" s="296">
        <f t="shared" si="2"/>
        <v>162</v>
      </c>
      <c r="R168" s="297" t="s">
        <v>1385</v>
      </c>
      <c r="S168" s="297" t="s">
        <v>1379</v>
      </c>
      <c r="T168" s="298" t="s">
        <v>922</v>
      </c>
      <c r="U168" s="296" t="s">
        <v>1386</v>
      </c>
      <c r="V168" s="296" t="s">
        <v>1379</v>
      </c>
      <c r="W168" s="297" t="s">
        <v>2654</v>
      </c>
      <c r="X168" s="239" t="s">
        <v>3088</v>
      </c>
      <c r="Y168" s="239" t="s">
        <v>3125</v>
      </c>
      <c r="Z168" t="s">
        <v>3110</v>
      </c>
      <c r="AA168" s="299">
        <v>2968</v>
      </c>
    </row>
    <row r="169" spans="17:27" ht="13.8">
      <c r="Q169" s="296">
        <f t="shared" si="2"/>
        <v>163</v>
      </c>
      <c r="R169" s="297" t="s">
        <v>1387</v>
      </c>
      <c r="S169" s="297" t="s">
        <v>1388</v>
      </c>
      <c r="T169" s="298" t="s">
        <v>929</v>
      </c>
      <c r="U169" s="296" t="s">
        <v>1389</v>
      </c>
      <c r="V169" s="296" t="s">
        <v>1388</v>
      </c>
      <c r="W169" s="297" t="s">
        <v>2890</v>
      </c>
      <c r="X169" s="239" t="s">
        <v>3088</v>
      </c>
      <c r="Y169" s="239" t="s">
        <v>3125</v>
      </c>
      <c r="Z169" t="s">
        <v>3110</v>
      </c>
      <c r="AA169" s="299">
        <v>3235</v>
      </c>
    </row>
    <row r="170" spans="17:27" ht="13.8">
      <c r="Q170" s="296">
        <f t="shared" si="2"/>
        <v>164</v>
      </c>
      <c r="R170" s="297" t="s">
        <v>1390</v>
      </c>
      <c r="S170" s="297" t="s">
        <v>1391</v>
      </c>
      <c r="T170" s="298" t="s">
        <v>900</v>
      </c>
      <c r="U170" s="296" t="s">
        <v>1392</v>
      </c>
      <c r="V170" s="296" t="s">
        <v>2656</v>
      </c>
      <c r="W170" s="297" t="s">
        <v>2656</v>
      </c>
      <c r="X170" s="239" t="s">
        <v>3089</v>
      </c>
      <c r="Y170" s="239" t="s">
        <v>3124</v>
      </c>
      <c r="Z170" t="s">
        <v>3105</v>
      </c>
      <c r="AA170" s="299">
        <v>12538</v>
      </c>
    </row>
    <row r="171" spans="17:27" ht="13.8">
      <c r="Q171" s="296">
        <f t="shared" si="2"/>
        <v>165</v>
      </c>
      <c r="R171" s="297" t="s">
        <v>1393</v>
      </c>
      <c r="S171" s="297" t="s">
        <v>1394</v>
      </c>
      <c r="T171" s="298" t="s">
        <v>900</v>
      </c>
      <c r="U171" s="296" t="s">
        <v>1395</v>
      </c>
      <c r="V171" s="296" t="s">
        <v>1394</v>
      </c>
      <c r="W171" s="297" t="s">
        <v>2656</v>
      </c>
      <c r="X171" s="239" t="s">
        <v>3088</v>
      </c>
      <c r="Y171" s="239" t="s">
        <v>3125</v>
      </c>
      <c r="Z171" t="s">
        <v>3110</v>
      </c>
      <c r="AA171" s="299">
        <v>35369</v>
      </c>
    </row>
    <row r="172" spans="17:27" ht="13.8">
      <c r="Q172" s="296">
        <f t="shared" si="2"/>
        <v>166</v>
      </c>
      <c r="R172" s="297" t="s">
        <v>1396</v>
      </c>
      <c r="S172" s="297" t="s">
        <v>1397</v>
      </c>
      <c r="T172" s="298" t="s">
        <v>922</v>
      </c>
      <c r="U172" s="296" t="s">
        <v>1398</v>
      </c>
      <c r="V172" s="296" t="s">
        <v>1397</v>
      </c>
      <c r="W172" s="297" t="s">
        <v>2891</v>
      </c>
      <c r="X172" s="239" t="s">
        <v>3088</v>
      </c>
      <c r="Y172" s="239" t="s">
        <v>3125</v>
      </c>
      <c r="Z172" t="s">
        <v>3107</v>
      </c>
      <c r="AA172" s="299">
        <v>2199</v>
      </c>
    </row>
    <row r="173" spans="17:27" ht="13.8">
      <c r="Q173" s="296">
        <f t="shared" si="2"/>
        <v>167</v>
      </c>
      <c r="R173" s="297" t="s">
        <v>1399</v>
      </c>
      <c r="S173" s="297" t="s">
        <v>1400</v>
      </c>
      <c r="T173" s="298" t="s">
        <v>1025</v>
      </c>
      <c r="U173" s="296" t="s">
        <v>1401</v>
      </c>
      <c r="V173" s="296" t="s">
        <v>2657</v>
      </c>
      <c r="W173" s="297" t="s">
        <v>2657</v>
      </c>
      <c r="X173" s="239" t="s">
        <v>3089</v>
      </c>
      <c r="Y173" s="239" t="s">
        <v>3124</v>
      </c>
      <c r="Z173" t="s">
        <v>3105</v>
      </c>
      <c r="AA173" s="299">
        <v>1370</v>
      </c>
    </row>
    <row r="174" spans="17:27" ht="13.8">
      <c r="Q174" s="296">
        <f t="shared" si="2"/>
        <v>168</v>
      </c>
      <c r="R174" s="297" t="s">
        <v>1402</v>
      </c>
      <c r="S174" s="297" t="s">
        <v>1403</v>
      </c>
      <c r="T174" s="298" t="s">
        <v>904</v>
      </c>
      <c r="U174" s="296" t="s">
        <v>1404</v>
      </c>
      <c r="V174" s="296" t="s">
        <v>1403</v>
      </c>
      <c r="W174" s="297" t="s">
        <v>2892</v>
      </c>
      <c r="X174" s="239" t="s">
        <v>3088</v>
      </c>
      <c r="Y174" s="239" t="s">
        <v>3124</v>
      </c>
      <c r="Z174" t="s">
        <v>3114</v>
      </c>
      <c r="AA174" s="299">
        <v>37813</v>
      </c>
    </row>
    <row r="175" spans="17:27" ht="13.8">
      <c r="Q175" s="296">
        <f t="shared" si="2"/>
        <v>169</v>
      </c>
      <c r="R175" s="297" t="s">
        <v>1405</v>
      </c>
      <c r="S175" s="297" t="s">
        <v>1406</v>
      </c>
      <c r="T175" s="298" t="s">
        <v>908</v>
      </c>
      <c r="U175" s="296" t="s">
        <v>1407</v>
      </c>
      <c r="V175" s="296" t="s">
        <v>3044</v>
      </c>
      <c r="W175" s="297" t="s">
        <v>3044</v>
      </c>
      <c r="X175" s="239" t="s">
        <v>3090</v>
      </c>
      <c r="Y175" s="239" t="s">
        <v>3124</v>
      </c>
      <c r="Z175" t="s">
        <v>3111</v>
      </c>
      <c r="AA175" s="299">
        <v>32655</v>
      </c>
    </row>
    <row r="176" spans="17:27" ht="13.8">
      <c r="Q176" s="296">
        <f t="shared" si="2"/>
        <v>170</v>
      </c>
      <c r="R176" s="297" t="s">
        <v>1408</v>
      </c>
      <c r="S176" s="297" t="s">
        <v>1409</v>
      </c>
      <c r="T176" s="298" t="s">
        <v>1006</v>
      </c>
      <c r="U176" s="296" t="s">
        <v>1410</v>
      </c>
      <c r="V176" s="296" t="s">
        <v>2658</v>
      </c>
      <c r="W176" s="297" t="s">
        <v>2658</v>
      </c>
      <c r="X176" s="239" t="s">
        <v>3089</v>
      </c>
      <c r="Y176" s="239" t="s">
        <v>3124</v>
      </c>
      <c r="Z176" t="s">
        <v>3105</v>
      </c>
      <c r="AA176" s="299">
        <v>4454</v>
      </c>
    </row>
    <row r="177" spans="17:27" ht="13.8">
      <c r="Q177" s="296">
        <f t="shared" si="2"/>
        <v>171</v>
      </c>
      <c r="R177" s="297" t="s">
        <v>1411</v>
      </c>
      <c r="S177" s="297" t="s">
        <v>1412</v>
      </c>
      <c r="T177" s="298" t="s">
        <v>945</v>
      </c>
      <c r="U177" s="296" t="s">
        <v>1413</v>
      </c>
      <c r="V177" s="296" t="s">
        <v>2659</v>
      </c>
      <c r="W177" s="297" t="s">
        <v>2659</v>
      </c>
      <c r="X177" s="239" t="s">
        <v>3089</v>
      </c>
      <c r="Y177" s="239" t="s">
        <v>3124</v>
      </c>
      <c r="Z177" t="s">
        <v>3105</v>
      </c>
      <c r="AA177" s="299">
        <v>2189</v>
      </c>
    </row>
    <row r="178" spans="17:27" ht="13.8">
      <c r="Q178" s="296">
        <f t="shared" si="2"/>
        <v>172</v>
      </c>
      <c r="R178" s="297" t="s">
        <v>1414</v>
      </c>
      <c r="S178" s="297" t="s">
        <v>1415</v>
      </c>
      <c r="T178" s="298" t="s">
        <v>1160</v>
      </c>
      <c r="U178" s="296" t="s">
        <v>1416</v>
      </c>
      <c r="V178" s="296" t="s">
        <v>2660</v>
      </c>
      <c r="W178" s="297" t="s">
        <v>2660</v>
      </c>
      <c r="X178" s="239" t="s">
        <v>3089</v>
      </c>
      <c r="Y178" s="239" t="s">
        <v>3124</v>
      </c>
      <c r="Z178" t="s">
        <v>3105</v>
      </c>
      <c r="AA178" s="299">
        <v>23149</v>
      </c>
    </row>
    <row r="179" spans="17:27" ht="13.8">
      <c r="Q179" s="296">
        <f t="shared" si="2"/>
        <v>173</v>
      </c>
      <c r="R179" s="297" t="s">
        <v>1417</v>
      </c>
      <c r="S179" s="297" t="s">
        <v>1418</v>
      </c>
      <c r="T179" s="298" t="s">
        <v>1025</v>
      </c>
      <c r="U179" s="296" t="s">
        <v>1419</v>
      </c>
      <c r="V179" s="296" t="s">
        <v>2661</v>
      </c>
      <c r="W179" s="297" t="s">
        <v>2661</v>
      </c>
      <c r="X179" s="239" t="s">
        <v>3089</v>
      </c>
      <c r="Y179" s="239" t="s">
        <v>3124</v>
      </c>
      <c r="Z179" t="s">
        <v>3105</v>
      </c>
      <c r="AA179" s="299">
        <v>1682</v>
      </c>
    </row>
    <row r="180" spans="17:27" ht="13.8">
      <c r="Q180" s="296">
        <f t="shared" si="2"/>
        <v>174</v>
      </c>
      <c r="R180" s="297" t="s">
        <v>1420</v>
      </c>
      <c r="S180" s="297" t="s">
        <v>1421</v>
      </c>
      <c r="T180" s="298" t="s">
        <v>990</v>
      </c>
      <c r="U180" s="296" t="s">
        <v>1422</v>
      </c>
      <c r="V180" s="296" t="s">
        <v>2662</v>
      </c>
      <c r="W180" s="297" t="s">
        <v>2662</v>
      </c>
      <c r="X180" s="239" t="s">
        <v>3089</v>
      </c>
      <c r="Y180" s="239" t="s">
        <v>3124</v>
      </c>
      <c r="Z180" t="s">
        <v>3105</v>
      </c>
      <c r="AA180" s="299">
        <v>7802</v>
      </c>
    </row>
    <row r="181" spans="17:27" ht="13.8">
      <c r="Q181" s="296">
        <f t="shared" si="2"/>
        <v>175</v>
      </c>
      <c r="R181" s="297" t="s">
        <v>1423</v>
      </c>
      <c r="S181" s="297" t="s">
        <v>1424</v>
      </c>
      <c r="T181" s="298" t="s">
        <v>908</v>
      </c>
      <c r="U181" s="296" t="s">
        <v>1425</v>
      </c>
      <c r="V181" s="296" t="s">
        <v>2663</v>
      </c>
      <c r="W181" s="297" t="s">
        <v>2663</v>
      </c>
      <c r="X181" s="239" t="s">
        <v>3089</v>
      </c>
      <c r="Y181" s="239" t="s">
        <v>3124</v>
      </c>
      <c r="Z181" t="s">
        <v>3105</v>
      </c>
      <c r="AA181" s="299">
        <v>12133</v>
      </c>
    </row>
    <row r="182" spans="17:27" ht="13.8">
      <c r="Q182" s="296">
        <f t="shared" si="2"/>
        <v>176</v>
      </c>
      <c r="R182" s="297" t="s">
        <v>1426</v>
      </c>
      <c r="S182" s="297" t="s">
        <v>1427</v>
      </c>
      <c r="T182" s="298" t="s">
        <v>945</v>
      </c>
      <c r="U182" s="296" t="s">
        <v>1428</v>
      </c>
      <c r="V182" s="296" t="s">
        <v>3084</v>
      </c>
      <c r="W182" s="297" t="s">
        <v>3084</v>
      </c>
      <c r="X182" s="239" t="s">
        <v>3090</v>
      </c>
      <c r="Y182" s="239" t="s">
        <v>3124</v>
      </c>
      <c r="Z182" t="s">
        <v>3105</v>
      </c>
      <c r="AA182" s="299">
        <v>11484</v>
      </c>
    </row>
    <row r="183" spans="17:27" ht="13.8">
      <c r="Q183" s="296">
        <f t="shared" si="2"/>
        <v>177</v>
      </c>
      <c r="R183" s="297" t="s">
        <v>1429</v>
      </c>
      <c r="S183" s="297" t="s">
        <v>1430</v>
      </c>
      <c r="T183" s="298" t="s">
        <v>945</v>
      </c>
      <c r="U183" s="296" t="s">
        <v>1431</v>
      </c>
      <c r="V183" s="296" t="s">
        <v>1430</v>
      </c>
      <c r="W183" s="297" t="s">
        <v>1160</v>
      </c>
      <c r="X183" s="239" t="s">
        <v>3088</v>
      </c>
      <c r="Y183" s="239" t="s">
        <v>3124</v>
      </c>
      <c r="Z183" t="s">
        <v>3106</v>
      </c>
      <c r="AA183" s="299">
        <v>66034</v>
      </c>
    </row>
    <row r="184" spans="17:27" ht="13.8">
      <c r="Q184" s="296">
        <f t="shared" si="2"/>
        <v>178</v>
      </c>
      <c r="R184" s="297" t="s">
        <v>1432</v>
      </c>
      <c r="S184" s="297" t="s">
        <v>1433</v>
      </c>
      <c r="T184" s="298" t="s">
        <v>986</v>
      </c>
      <c r="U184" s="296" t="s">
        <v>1434</v>
      </c>
      <c r="V184" s="296" t="s">
        <v>1433</v>
      </c>
      <c r="W184" s="297" t="s">
        <v>2893</v>
      </c>
      <c r="X184" s="239" t="s">
        <v>3088</v>
      </c>
      <c r="Y184" s="239" t="s">
        <v>3125</v>
      </c>
      <c r="Z184" t="s">
        <v>3110</v>
      </c>
      <c r="AA184" s="299">
        <v>7281</v>
      </c>
    </row>
    <row r="185" spans="17:27" ht="13.8">
      <c r="Q185" s="296">
        <f t="shared" si="2"/>
        <v>179</v>
      </c>
      <c r="R185" s="297" t="s">
        <v>1435</v>
      </c>
      <c r="S185" s="297" t="s">
        <v>1436</v>
      </c>
      <c r="T185" s="298" t="s">
        <v>929</v>
      </c>
      <c r="U185" s="296" t="s">
        <v>1437</v>
      </c>
      <c r="V185" s="296" t="s">
        <v>1436</v>
      </c>
      <c r="W185" s="297" t="s">
        <v>2894</v>
      </c>
      <c r="X185" s="239" t="s">
        <v>3088</v>
      </c>
      <c r="Y185" s="239" t="s">
        <v>3125</v>
      </c>
      <c r="Z185" t="s">
        <v>3110</v>
      </c>
      <c r="AA185" s="299">
        <v>3627</v>
      </c>
    </row>
    <row r="186" spans="17:27" ht="13.8">
      <c r="Q186" s="296">
        <f t="shared" si="2"/>
        <v>180</v>
      </c>
      <c r="R186" s="297" t="s">
        <v>1438</v>
      </c>
      <c r="S186" s="297" t="s">
        <v>1439</v>
      </c>
      <c r="T186" s="298" t="s">
        <v>1073</v>
      </c>
      <c r="U186" s="296" t="s">
        <v>1440</v>
      </c>
      <c r="V186" s="296" t="s">
        <v>1439</v>
      </c>
      <c r="W186" s="297" t="s">
        <v>2895</v>
      </c>
      <c r="X186" s="239" t="s">
        <v>3088</v>
      </c>
      <c r="Y186" s="239" t="s">
        <v>3125</v>
      </c>
      <c r="Z186" t="s">
        <v>3107</v>
      </c>
      <c r="AA186" s="299">
        <v>771</v>
      </c>
    </row>
    <row r="187" spans="17:27" ht="13.8">
      <c r="Q187" s="296">
        <f t="shared" si="2"/>
        <v>181</v>
      </c>
      <c r="R187" s="297" t="s">
        <v>1441</v>
      </c>
      <c r="S187" s="297" t="s">
        <v>1439</v>
      </c>
      <c r="T187" s="298" t="s">
        <v>1160</v>
      </c>
      <c r="U187" s="296" t="s">
        <v>1442</v>
      </c>
      <c r="V187" s="296" t="s">
        <v>1439</v>
      </c>
      <c r="W187" s="297" t="s">
        <v>2895</v>
      </c>
      <c r="X187" s="239" t="s">
        <v>3088</v>
      </c>
      <c r="Y187" s="239" t="s">
        <v>3124</v>
      </c>
      <c r="Z187" t="s">
        <v>3108</v>
      </c>
      <c r="AA187" s="299">
        <v>4917</v>
      </c>
    </row>
    <row r="188" spans="17:27" ht="13.8">
      <c r="Q188" s="296">
        <f t="shared" si="2"/>
        <v>182</v>
      </c>
      <c r="R188" s="297" t="s">
        <v>1443</v>
      </c>
      <c r="S188" s="297" t="s">
        <v>1439</v>
      </c>
      <c r="T188" s="298" t="s">
        <v>922</v>
      </c>
      <c r="U188" s="296" t="s">
        <v>1444</v>
      </c>
      <c r="V188" s="296" t="s">
        <v>1439</v>
      </c>
      <c r="W188" s="297" t="s">
        <v>2895</v>
      </c>
      <c r="X188" s="239" t="s">
        <v>3088</v>
      </c>
      <c r="Y188" s="239" t="s">
        <v>3125</v>
      </c>
      <c r="Z188" t="s">
        <v>3110</v>
      </c>
      <c r="AA188" s="299">
        <v>5473</v>
      </c>
    </row>
    <row r="189" spans="17:27" ht="13.8">
      <c r="Q189" s="296">
        <f t="shared" si="2"/>
        <v>183</v>
      </c>
      <c r="R189" s="297" t="s">
        <v>1445</v>
      </c>
      <c r="S189" s="297" t="s">
        <v>1446</v>
      </c>
      <c r="T189" s="298" t="s">
        <v>976</v>
      </c>
      <c r="U189" s="296" t="s">
        <v>1447</v>
      </c>
      <c r="V189" s="296" t="s">
        <v>3074</v>
      </c>
      <c r="W189" s="297" t="s">
        <v>3074</v>
      </c>
      <c r="X189" s="239" t="s">
        <v>2583</v>
      </c>
      <c r="Y189" s="239" t="s">
        <v>3124</v>
      </c>
      <c r="Z189" t="s">
        <v>3113</v>
      </c>
      <c r="AA189" s="299">
        <v>12017</v>
      </c>
    </row>
    <row r="190" spans="17:27" ht="13.8">
      <c r="Q190" s="296">
        <f t="shared" si="2"/>
        <v>184</v>
      </c>
      <c r="R190" s="297" t="s">
        <v>1448</v>
      </c>
      <c r="S190" s="297" t="s">
        <v>1449</v>
      </c>
      <c r="T190" s="298" t="s">
        <v>908</v>
      </c>
      <c r="U190" s="296" t="s">
        <v>1450</v>
      </c>
      <c r="V190" s="296" t="s">
        <v>3045</v>
      </c>
      <c r="W190" s="297" t="s">
        <v>3045</v>
      </c>
      <c r="X190" s="239" t="s">
        <v>3090</v>
      </c>
      <c r="Y190" s="239" t="s">
        <v>3124</v>
      </c>
      <c r="Z190" t="s">
        <v>3111</v>
      </c>
      <c r="AA190" s="299">
        <v>46030</v>
      </c>
    </row>
    <row r="191" spans="17:27" ht="13.8">
      <c r="Q191" s="296">
        <f t="shared" si="2"/>
        <v>185</v>
      </c>
      <c r="R191" s="297" t="s">
        <v>1451</v>
      </c>
      <c r="S191" s="297" t="s">
        <v>1452</v>
      </c>
      <c r="T191" s="298" t="s">
        <v>922</v>
      </c>
      <c r="U191" s="296" t="s">
        <v>1453</v>
      </c>
      <c r="V191" s="296" t="s">
        <v>3075</v>
      </c>
      <c r="W191" s="297" t="s">
        <v>3075</v>
      </c>
      <c r="X191" s="239" t="s">
        <v>2583</v>
      </c>
      <c r="Y191" s="239" t="s">
        <v>3124</v>
      </c>
      <c r="Z191" t="s">
        <v>3105</v>
      </c>
      <c r="AA191" s="299">
        <v>10248</v>
      </c>
    </row>
    <row r="192" spans="17:27" ht="13.8">
      <c r="Q192" s="296">
        <f t="shared" si="2"/>
        <v>186</v>
      </c>
      <c r="R192" s="297" t="s">
        <v>1454</v>
      </c>
      <c r="S192" s="297" t="s">
        <v>1455</v>
      </c>
      <c r="T192" s="298" t="s">
        <v>945</v>
      </c>
      <c r="U192" s="296" t="s">
        <v>1456</v>
      </c>
      <c r="V192" s="296" t="s">
        <v>2664</v>
      </c>
      <c r="W192" s="297" t="s">
        <v>2664</v>
      </c>
      <c r="X192" s="239" t="s">
        <v>3089</v>
      </c>
      <c r="Y192" s="239" t="s">
        <v>3124</v>
      </c>
      <c r="Z192" t="s">
        <v>3105</v>
      </c>
      <c r="AA192" s="299">
        <v>7495</v>
      </c>
    </row>
    <row r="193" spans="17:27" ht="13.8">
      <c r="Q193" s="296">
        <f t="shared" si="2"/>
        <v>187</v>
      </c>
      <c r="R193" s="297" t="s">
        <v>1457</v>
      </c>
      <c r="S193" s="297" t="s">
        <v>1458</v>
      </c>
      <c r="T193" s="298" t="s">
        <v>945</v>
      </c>
      <c r="U193" s="296" t="s">
        <v>1459</v>
      </c>
      <c r="V193" s="296" t="s">
        <v>1458</v>
      </c>
      <c r="W193" s="297" t="s">
        <v>2896</v>
      </c>
      <c r="X193" s="239" t="s">
        <v>3088</v>
      </c>
      <c r="Y193" s="239" t="s">
        <v>3126</v>
      </c>
      <c r="Z193" t="s">
        <v>3109</v>
      </c>
      <c r="AA193" s="299">
        <v>15407</v>
      </c>
    </row>
    <row r="194" spans="17:27" ht="13.8">
      <c r="Q194" s="296">
        <f t="shared" si="2"/>
        <v>188</v>
      </c>
      <c r="R194" s="297" t="s">
        <v>1460</v>
      </c>
      <c r="S194" s="297" t="s">
        <v>1461</v>
      </c>
      <c r="T194" s="298" t="s">
        <v>945</v>
      </c>
      <c r="U194" s="296" t="s">
        <v>1462</v>
      </c>
      <c r="V194" s="296" t="s">
        <v>2665</v>
      </c>
      <c r="W194" s="297" t="s">
        <v>2665</v>
      </c>
      <c r="X194" s="239" t="s">
        <v>3089</v>
      </c>
      <c r="Y194" s="239" t="s">
        <v>3126</v>
      </c>
      <c r="Z194" t="s">
        <v>3109</v>
      </c>
      <c r="AA194" s="299">
        <v>12550</v>
      </c>
    </row>
    <row r="195" spans="17:27" ht="13.8">
      <c r="Q195" s="296">
        <f t="shared" si="2"/>
        <v>189</v>
      </c>
      <c r="R195" s="297" t="s">
        <v>1463</v>
      </c>
      <c r="S195" s="297" t="s">
        <v>1464</v>
      </c>
      <c r="T195" s="298" t="s">
        <v>969</v>
      </c>
      <c r="U195" s="296" t="s">
        <v>1465</v>
      </c>
      <c r="V195" s="296" t="s">
        <v>1464</v>
      </c>
      <c r="W195" s="297" t="s">
        <v>2897</v>
      </c>
      <c r="X195" s="239" t="s">
        <v>3088</v>
      </c>
      <c r="Y195" s="239" t="s">
        <v>3125</v>
      </c>
      <c r="Z195" t="s">
        <v>3110</v>
      </c>
      <c r="AA195" s="299">
        <v>6035</v>
      </c>
    </row>
    <row r="196" spans="17:27" ht="13.8">
      <c r="Q196" s="296">
        <f t="shared" si="2"/>
        <v>190</v>
      </c>
      <c r="R196" s="297" t="s">
        <v>1466</v>
      </c>
      <c r="S196" s="297" t="s">
        <v>1467</v>
      </c>
      <c r="T196" s="298" t="s">
        <v>1038</v>
      </c>
      <c r="U196" s="296" t="s">
        <v>1468</v>
      </c>
      <c r="V196" s="296" t="s">
        <v>2666</v>
      </c>
      <c r="W196" s="297" t="s">
        <v>2666</v>
      </c>
      <c r="X196" s="239" t="s">
        <v>3089</v>
      </c>
      <c r="Y196" s="239" t="s">
        <v>3124</v>
      </c>
      <c r="Z196" t="s">
        <v>3105</v>
      </c>
      <c r="AA196" s="299">
        <v>9052</v>
      </c>
    </row>
    <row r="197" spans="17:27" ht="13.8">
      <c r="Q197" s="296">
        <f t="shared" si="2"/>
        <v>191</v>
      </c>
      <c r="R197" s="297" t="s">
        <v>1469</v>
      </c>
      <c r="S197" s="297" t="s">
        <v>1470</v>
      </c>
      <c r="T197" s="298" t="s">
        <v>929</v>
      </c>
      <c r="U197" s="296" t="s">
        <v>1471</v>
      </c>
      <c r="V197" s="296" t="s">
        <v>2667</v>
      </c>
      <c r="W197" s="297" t="s">
        <v>2667</v>
      </c>
      <c r="X197" s="239" t="s">
        <v>3089</v>
      </c>
      <c r="Y197" s="239" t="s">
        <v>3124</v>
      </c>
      <c r="Z197" t="s">
        <v>3105</v>
      </c>
      <c r="AA197" s="299">
        <v>3266</v>
      </c>
    </row>
    <row r="198" spans="17:27" ht="13.8">
      <c r="Q198" s="296">
        <f t="shared" si="2"/>
        <v>192</v>
      </c>
      <c r="R198" s="297" t="s">
        <v>1472</v>
      </c>
      <c r="S198" s="297" t="s">
        <v>1473</v>
      </c>
      <c r="T198" s="298" t="s">
        <v>904</v>
      </c>
      <c r="U198" s="296" t="s">
        <v>1474</v>
      </c>
      <c r="V198" s="296" t="s">
        <v>1473</v>
      </c>
      <c r="W198" s="297" t="s">
        <v>2898</v>
      </c>
      <c r="X198" s="239" t="s">
        <v>3088</v>
      </c>
      <c r="Y198" s="239" t="s">
        <v>3125</v>
      </c>
      <c r="Z198" t="s">
        <v>3110</v>
      </c>
      <c r="AA198" s="299">
        <v>27484</v>
      </c>
    </row>
    <row r="199" spans="17:27" ht="13.8">
      <c r="Q199" s="296">
        <f t="shared" si="2"/>
        <v>193</v>
      </c>
      <c r="R199" s="297" t="s">
        <v>1475</v>
      </c>
      <c r="S199" s="297" t="s">
        <v>1473</v>
      </c>
      <c r="T199" s="298" t="s">
        <v>1266</v>
      </c>
      <c r="U199" s="296" t="s">
        <v>1476</v>
      </c>
      <c r="V199" s="296" t="s">
        <v>1473</v>
      </c>
      <c r="W199" s="297" t="s">
        <v>2898</v>
      </c>
      <c r="X199" s="239" t="s">
        <v>3088</v>
      </c>
      <c r="Y199" s="239" t="s">
        <v>3124</v>
      </c>
      <c r="Z199" t="s">
        <v>3113</v>
      </c>
      <c r="AA199" s="299">
        <v>92297</v>
      </c>
    </row>
    <row r="200" spans="17:27" ht="13.8">
      <c r="Q200" s="296">
        <f t="shared" si="2"/>
        <v>194</v>
      </c>
      <c r="R200" s="297" t="s">
        <v>1477</v>
      </c>
      <c r="S200" s="297" t="s">
        <v>1478</v>
      </c>
      <c r="T200" s="298" t="s">
        <v>904</v>
      </c>
      <c r="U200" s="296" t="s">
        <v>1479</v>
      </c>
      <c r="V200" s="296" t="s">
        <v>1478</v>
      </c>
      <c r="W200" s="297" t="s">
        <v>2899</v>
      </c>
      <c r="X200" s="239" t="s">
        <v>3088</v>
      </c>
      <c r="Y200" s="239" t="s">
        <v>3124</v>
      </c>
      <c r="Z200" t="s">
        <v>3105</v>
      </c>
      <c r="AA200" s="299">
        <v>14711</v>
      </c>
    </row>
    <row r="201" spans="17:27" ht="13.8">
      <c r="Q201" s="296">
        <f t="shared" si="2"/>
        <v>195</v>
      </c>
      <c r="R201" s="297" t="s">
        <v>1480</v>
      </c>
      <c r="S201" s="297" t="s">
        <v>1481</v>
      </c>
      <c r="T201" s="298" t="s">
        <v>1025</v>
      </c>
      <c r="U201" s="296" t="s">
        <v>1482</v>
      </c>
      <c r="V201" s="296" t="s">
        <v>2668</v>
      </c>
      <c r="W201" s="297" t="s">
        <v>2668</v>
      </c>
      <c r="X201" s="239" t="s">
        <v>3089</v>
      </c>
      <c r="Y201" s="239" t="s">
        <v>3124</v>
      </c>
      <c r="Z201" t="s">
        <v>3105</v>
      </c>
      <c r="AA201" s="299">
        <v>1438</v>
      </c>
    </row>
    <row r="202" spans="17:27" ht="13.8">
      <c r="Q202" s="296">
        <f t="shared" si="2"/>
        <v>196</v>
      </c>
      <c r="R202" s="297" t="s">
        <v>1483</v>
      </c>
      <c r="S202" s="297" t="s">
        <v>1484</v>
      </c>
      <c r="T202" s="298" t="s">
        <v>929</v>
      </c>
      <c r="U202" s="296" t="s">
        <v>1485</v>
      </c>
      <c r="V202" s="296" t="s">
        <v>1484</v>
      </c>
      <c r="W202" s="297" t="s">
        <v>2668</v>
      </c>
      <c r="X202" s="239" t="s">
        <v>3088</v>
      </c>
      <c r="Y202" s="239" t="s">
        <v>3125</v>
      </c>
      <c r="Z202" t="s">
        <v>3110</v>
      </c>
      <c r="AA202" s="299">
        <v>4893</v>
      </c>
    </row>
    <row r="203" spans="17:27" ht="13.8">
      <c r="Q203" s="296">
        <f t="shared" ref="Q203:Q266" si="3">Q202+1</f>
        <v>197</v>
      </c>
      <c r="R203" s="297" t="s">
        <v>1486</v>
      </c>
      <c r="S203" s="297" t="s">
        <v>1487</v>
      </c>
      <c r="T203" s="298" t="s">
        <v>1048</v>
      </c>
      <c r="U203" s="296" t="s">
        <v>1488</v>
      </c>
      <c r="V203" s="296" t="s">
        <v>1487</v>
      </c>
      <c r="W203" s="297" t="s">
        <v>2900</v>
      </c>
      <c r="X203" s="239" t="s">
        <v>3088</v>
      </c>
      <c r="Y203" s="239" t="s">
        <v>3125</v>
      </c>
      <c r="Z203" t="s">
        <v>3110</v>
      </c>
      <c r="AA203" s="299">
        <v>14677</v>
      </c>
    </row>
    <row r="204" spans="17:27" ht="13.8">
      <c r="Q204" s="296">
        <f t="shared" si="3"/>
        <v>198</v>
      </c>
      <c r="R204" s="297" t="s">
        <v>1489</v>
      </c>
      <c r="S204" s="297" t="s">
        <v>1490</v>
      </c>
      <c r="T204" s="298" t="s">
        <v>1048</v>
      </c>
      <c r="U204" s="296" t="s">
        <v>1491</v>
      </c>
      <c r="V204" s="296" t="s">
        <v>1490</v>
      </c>
      <c r="W204" s="297" t="s">
        <v>2901</v>
      </c>
      <c r="X204" s="239" t="s">
        <v>3088</v>
      </c>
      <c r="Y204" s="239" t="s">
        <v>3125</v>
      </c>
      <c r="Z204" t="s">
        <v>3110</v>
      </c>
      <c r="AA204" s="299">
        <v>3871</v>
      </c>
    </row>
    <row r="205" spans="17:27" ht="13.8">
      <c r="Q205" s="296">
        <f t="shared" si="3"/>
        <v>199</v>
      </c>
      <c r="R205" s="297" t="s">
        <v>1492</v>
      </c>
      <c r="S205" s="297" t="s">
        <v>1493</v>
      </c>
      <c r="T205" s="298" t="s">
        <v>922</v>
      </c>
      <c r="U205" s="296" t="s">
        <v>1494</v>
      </c>
      <c r="V205" s="296" t="s">
        <v>1493</v>
      </c>
      <c r="W205" s="297" t="s">
        <v>2902</v>
      </c>
      <c r="X205" s="239" t="s">
        <v>3088</v>
      </c>
      <c r="Y205" s="239" t="s">
        <v>3125</v>
      </c>
      <c r="Z205" t="s">
        <v>3107</v>
      </c>
      <c r="AA205" s="299">
        <v>1598</v>
      </c>
    </row>
    <row r="206" spans="17:27" ht="13.8">
      <c r="Q206" s="296">
        <f t="shared" si="3"/>
        <v>200</v>
      </c>
      <c r="R206" s="297" t="s">
        <v>1495</v>
      </c>
      <c r="S206" s="297" t="s">
        <v>1496</v>
      </c>
      <c r="T206" s="298" t="s">
        <v>929</v>
      </c>
      <c r="U206" s="296" t="s">
        <v>1497</v>
      </c>
      <c r="V206" s="296" t="s">
        <v>1496</v>
      </c>
      <c r="W206" s="297" t="s">
        <v>2903</v>
      </c>
      <c r="X206" s="239" t="s">
        <v>3088</v>
      </c>
      <c r="Y206" s="239" t="s">
        <v>3124</v>
      </c>
      <c r="Z206" t="s">
        <v>3111</v>
      </c>
      <c r="AA206" s="299">
        <v>8125</v>
      </c>
    </row>
    <row r="207" spans="17:27" ht="13.8">
      <c r="Q207" s="296">
        <f t="shared" si="3"/>
        <v>201</v>
      </c>
      <c r="R207" s="297" t="s">
        <v>1498</v>
      </c>
      <c r="S207" s="297" t="s">
        <v>1499</v>
      </c>
      <c r="T207" s="298" t="s">
        <v>922</v>
      </c>
      <c r="U207" s="296" t="s">
        <v>1500</v>
      </c>
      <c r="V207" s="296" t="s">
        <v>1499</v>
      </c>
      <c r="W207" s="297" t="s">
        <v>2904</v>
      </c>
      <c r="X207" s="239" t="s">
        <v>3088</v>
      </c>
      <c r="Y207" s="239" t="s">
        <v>3125</v>
      </c>
      <c r="Z207" t="s">
        <v>3107</v>
      </c>
      <c r="AA207" s="299">
        <v>2503</v>
      </c>
    </row>
    <row r="208" spans="17:27" ht="13.8">
      <c r="Q208" s="296">
        <f t="shared" si="3"/>
        <v>202</v>
      </c>
      <c r="R208" s="297" t="s">
        <v>1501</v>
      </c>
      <c r="S208" s="297" t="s">
        <v>1502</v>
      </c>
      <c r="T208" s="298" t="s">
        <v>908</v>
      </c>
      <c r="U208" s="296" t="s">
        <v>1503</v>
      </c>
      <c r="V208" s="296" t="s">
        <v>2669</v>
      </c>
      <c r="W208" s="297" t="s">
        <v>2669</v>
      </c>
      <c r="X208" s="239" t="s">
        <v>3089</v>
      </c>
      <c r="Y208" s="239" t="s">
        <v>3124</v>
      </c>
      <c r="Z208" t="s">
        <v>3105</v>
      </c>
      <c r="AA208" s="299">
        <v>4741</v>
      </c>
    </row>
    <row r="209" spans="17:27" ht="13.8">
      <c r="Q209" s="296">
        <f t="shared" si="3"/>
        <v>203</v>
      </c>
      <c r="R209" s="297" t="s">
        <v>1504</v>
      </c>
      <c r="S209" s="297" t="s">
        <v>1505</v>
      </c>
      <c r="T209" s="298" t="s">
        <v>976</v>
      </c>
      <c r="U209" s="296" t="s">
        <v>1506</v>
      </c>
      <c r="V209" s="296" t="s">
        <v>2905</v>
      </c>
      <c r="W209" s="297" t="s">
        <v>2905</v>
      </c>
      <c r="X209" s="239" t="s">
        <v>2583</v>
      </c>
      <c r="Y209" s="239" t="s">
        <v>3124</v>
      </c>
      <c r="Z209" t="s">
        <v>3118</v>
      </c>
      <c r="AA209" s="299">
        <v>19450</v>
      </c>
    </row>
    <row r="210" spans="17:27" ht="13.8">
      <c r="Q210" s="296">
        <f t="shared" si="3"/>
        <v>204</v>
      </c>
      <c r="R210" s="297" t="s">
        <v>1507</v>
      </c>
      <c r="S210" s="297" t="s">
        <v>1508</v>
      </c>
      <c r="T210" s="298" t="s">
        <v>1160</v>
      </c>
      <c r="U210" s="296" t="s">
        <v>1509</v>
      </c>
      <c r="V210" s="296" t="s">
        <v>1508</v>
      </c>
      <c r="W210" s="297" t="s">
        <v>2905</v>
      </c>
      <c r="X210" s="239" t="s">
        <v>3088</v>
      </c>
      <c r="Y210" s="239" t="s">
        <v>3125</v>
      </c>
      <c r="Z210" t="s">
        <v>3110</v>
      </c>
      <c r="AA210" s="299">
        <v>13641</v>
      </c>
    </row>
    <row r="211" spans="17:27" ht="13.8">
      <c r="Q211" s="296">
        <f t="shared" si="3"/>
        <v>205</v>
      </c>
      <c r="R211" s="297" t="s">
        <v>1510</v>
      </c>
      <c r="S211" s="297" t="s">
        <v>1511</v>
      </c>
      <c r="T211" s="298" t="s">
        <v>959</v>
      </c>
      <c r="U211" s="296" t="s">
        <v>1512</v>
      </c>
      <c r="V211" s="296" t="s">
        <v>2670</v>
      </c>
      <c r="W211" s="297" t="s">
        <v>2670</v>
      </c>
      <c r="X211" s="239" t="s">
        <v>3089</v>
      </c>
      <c r="Y211" s="239" t="s">
        <v>3126</v>
      </c>
      <c r="Z211" t="s">
        <v>3109</v>
      </c>
      <c r="AA211" s="299">
        <v>391</v>
      </c>
    </row>
    <row r="212" spans="17:27" ht="13.8">
      <c r="Q212" s="296">
        <f t="shared" si="3"/>
        <v>206</v>
      </c>
      <c r="R212" s="297" t="s">
        <v>1513</v>
      </c>
      <c r="S212" s="297" t="s">
        <v>1514</v>
      </c>
      <c r="T212" s="298" t="s">
        <v>908</v>
      </c>
      <c r="U212" s="296" t="s">
        <v>1515</v>
      </c>
      <c r="V212" s="296" t="s">
        <v>2671</v>
      </c>
      <c r="W212" s="297" t="s">
        <v>2671</v>
      </c>
      <c r="X212" s="239" t="s">
        <v>3089</v>
      </c>
      <c r="Y212" s="239" t="s">
        <v>3124</v>
      </c>
      <c r="Z212" t="s">
        <v>3105</v>
      </c>
      <c r="AA212" s="299">
        <v>12125</v>
      </c>
    </row>
    <row r="213" spans="17:27" ht="13.8">
      <c r="Q213" s="296">
        <f t="shared" si="3"/>
        <v>207</v>
      </c>
      <c r="R213" s="297" t="s">
        <v>1516</v>
      </c>
      <c r="S213" s="297" t="s">
        <v>1517</v>
      </c>
      <c r="T213" s="298" t="s">
        <v>908</v>
      </c>
      <c r="U213" s="296" t="s">
        <v>1518</v>
      </c>
      <c r="V213" s="296" t="s">
        <v>2672</v>
      </c>
      <c r="W213" s="297" t="s">
        <v>2672</v>
      </c>
      <c r="X213" s="239" t="s">
        <v>3089</v>
      </c>
      <c r="Y213" s="239" t="s">
        <v>3124</v>
      </c>
      <c r="Z213" t="s">
        <v>3105</v>
      </c>
      <c r="AA213" s="299">
        <v>3343</v>
      </c>
    </row>
    <row r="214" spans="17:27" ht="13.8">
      <c r="Q214" s="296">
        <f t="shared" si="3"/>
        <v>208</v>
      </c>
      <c r="R214" s="297" t="s">
        <v>1519</v>
      </c>
      <c r="S214" s="297" t="s">
        <v>1520</v>
      </c>
      <c r="T214" s="298" t="s">
        <v>1038</v>
      </c>
      <c r="U214" s="296" t="s">
        <v>1521</v>
      </c>
      <c r="V214" s="296" t="s">
        <v>2673</v>
      </c>
      <c r="W214" s="297" t="s">
        <v>2673</v>
      </c>
      <c r="X214" s="239" t="s">
        <v>3089</v>
      </c>
      <c r="Y214" s="239" t="s">
        <v>3124</v>
      </c>
      <c r="Z214" t="s">
        <v>3106</v>
      </c>
      <c r="AA214" s="299">
        <v>19637</v>
      </c>
    </row>
    <row r="215" spans="17:27" ht="13.8">
      <c r="Q215" s="296">
        <f t="shared" si="3"/>
        <v>209</v>
      </c>
      <c r="R215" s="297" t="s">
        <v>1522</v>
      </c>
      <c r="S215" s="297" t="s">
        <v>1523</v>
      </c>
      <c r="T215" s="298" t="s">
        <v>900</v>
      </c>
      <c r="U215" s="296" t="s">
        <v>1524</v>
      </c>
      <c r="V215" s="296" t="s">
        <v>1523</v>
      </c>
      <c r="W215" s="297" t="s">
        <v>2906</v>
      </c>
      <c r="X215" s="239" t="s">
        <v>3088</v>
      </c>
      <c r="Y215" s="239" t="s">
        <v>3125</v>
      </c>
      <c r="Z215" t="s">
        <v>3110</v>
      </c>
      <c r="AA215" s="299">
        <v>20125</v>
      </c>
    </row>
    <row r="216" spans="17:27" ht="13.8">
      <c r="Q216" s="296">
        <f t="shared" si="3"/>
        <v>210</v>
      </c>
      <c r="R216" s="297" t="s">
        <v>1525</v>
      </c>
      <c r="S216" s="297" t="s">
        <v>1526</v>
      </c>
      <c r="T216" s="298" t="s">
        <v>1126</v>
      </c>
      <c r="U216" s="296" t="s">
        <v>1527</v>
      </c>
      <c r="V216" s="296" t="s">
        <v>2674</v>
      </c>
      <c r="W216" s="297" t="s">
        <v>2674</v>
      </c>
      <c r="X216" s="239" t="s">
        <v>3089</v>
      </c>
      <c r="Y216" s="239" t="s">
        <v>3124</v>
      </c>
      <c r="Z216" t="s">
        <v>3105</v>
      </c>
      <c r="AA216" s="299">
        <v>2455</v>
      </c>
    </row>
    <row r="217" spans="17:27" ht="13.8">
      <c r="Q217" s="296">
        <f t="shared" si="3"/>
        <v>211</v>
      </c>
      <c r="R217" s="297" t="s">
        <v>1528</v>
      </c>
      <c r="S217" s="297" t="s">
        <v>1529</v>
      </c>
      <c r="T217" s="298" t="s">
        <v>1025</v>
      </c>
      <c r="U217" s="296" t="s">
        <v>1530</v>
      </c>
      <c r="V217" s="296" t="s">
        <v>2675</v>
      </c>
      <c r="W217" s="297" t="s">
        <v>2675</v>
      </c>
      <c r="X217" s="239" t="s">
        <v>3089</v>
      </c>
      <c r="Y217" s="239" t="s">
        <v>3124</v>
      </c>
      <c r="Z217" t="s">
        <v>3105</v>
      </c>
      <c r="AA217" s="299">
        <v>3546</v>
      </c>
    </row>
    <row r="218" spans="17:27" ht="13.8">
      <c r="Q218" s="296">
        <f t="shared" si="3"/>
        <v>212</v>
      </c>
      <c r="R218" s="297" t="s">
        <v>1531</v>
      </c>
      <c r="S218" s="297" t="s">
        <v>1532</v>
      </c>
      <c r="T218" s="298" t="s">
        <v>1126</v>
      </c>
      <c r="U218" s="296" t="s">
        <v>1533</v>
      </c>
      <c r="V218" s="296" t="s">
        <v>2676</v>
      </c>
      <c r="W218" s="297" t="s">
        <v>2676</v>
      </c>
      <c r="X218" s="239" t="s">
        <v>3089</v>
      </c>
      <c r="Y218" s="239" t="s">
        <v>3124</v>
      </c>
      <c r="Z218" t="s">
        <v>3105</v>
      </c>
      <c r="AA218" s="299">
        <v>15072</v>
      </c>
    </row>
    <row r="219" spans="17:27" ht="13.8">
      <c r="Q219" s="296">
        <f t="shared" si="3"/>
        <v>213</v>
      </c>
      <c r="R219" s="297" t="s">
        <v>1534</v>
      </c>
      <c r="S219" s="297" t="s">
        <v>1535</v>
      </c>
      <c r="T219" s="298" t="s">
        <v>900</v>
      </c>
      <c r="U219" s="296" t="s">
        <v>1536</v>
      </c>
      <c r="V219" s="296" t="s">
        <v>2677</v>
      </c>
      <c r="W219" s="297" t="s">
        <v>2677</v>
      </c>
      <c r="X219" s="239" t="s">
        <v>3089</v>
      </c>
      <c r="Y219" s="239" t="s">
        <v>3124</v>
      </c>
      <c r="Z219" t="s">
        <v>3108</v>
      </c>
      <c r="AA219" s="299">
        <v>4621</v>
      </c>
    </row>
    <row r="220" spans="17:27" ht="13.8">
      <c r="Q220" s="296">
        <f t="shared" si="3"/>
        <v>214</v>
      </c>
      <c r="R220" s="297" t="s">
        <v>1537</v>
      </c>
      <c r="S220" s="297" t="s">
        <v>1538</v>
      </c>
      <c r="T220" s="298" t="s">
        <v>1266</v>
      </c>
      <c r="U220" s="296" t="s">
        <v>1539</v>
      </c>
      <c r="V220" s="296" t="s">
        <v>2678</v>
      </c>
      <c r="W220" s="297" t="s">
        <v>2678</v>
      </c>
      <c r="X220" s="239" t="s">
        <v>3089</v>
      </c>
      <c r="Y220" s="239" t="s">
        <v>3124</v>
      </c>
      <c r="Z220" t="s">
        <v>3105</v>
      </c>
      <c r="AA220" s="299">
        <v>5900</v>
      </c>
    </row>
    <row r="221" spans="17:27" ht="13.8">
      <c r="Q221" s="296">
        <f t="shared" si="3"/>
        <v>215</v>
      </c>
      <c r="R221" s="297" t="s">
        <v>1540</v>
      </c>
      <c r="S221" s="297" t="s">
        <v>1541</v>
      </c>
      <c r="T221" s="298" t="s">
        <v>986</v>
      </c>
      <c r="U221" s="296" t="s">
        <v>1542</v>
      </c>
      <c r="V221" s="296" t="s">
        <v>1541</v>
      </c>
      <c r="W221" s="297" t="s">
        <v>2907</v>
      </c>
      <c r="X221" s="239" t="s">
        <v>3088</v>
      </c>
      <c r="Y221" s="239" t="s">
        <v>3125</v>
      </c>
      <c r="Z221" t="s">
        <v>3110</v>
      </c>
      <c r="AA221" s="299">
        <v>43276</v>
      </c>
    </row>
    <row r="222" spans="17:27" ht="13.8">
      <c r="Q222" s="296">
        <f t="shared" si="3"/>
        <v>216</v>
      </c>
      <c r="R222" s="297" t="s">
        <v>1543</v>
      </c>
      <c r="S222" s="297" t="s">
        <v>1544</v>
      </c>
      <c r="T222" s="298" t="s">
        <v>908</v>
      </c>
      <c r="U222" s="296" t="s">
        <v>1545</v>
      </c>
      <c r="V222" s="296" t="s">
        <v>2679</v>
      </c>
      <c r="W222" s="297" t="s">
        <v>2679</v>
      </c>
      <c r="X222" s="239" t="s">
        <v>3089</v>
      </c>
      <c r="Y222" s="239" t="s">
        <v>3124</v>
      </c>
      <c r="Z222" t="s">
        <v>3105</v>
      </c>
      <c r="AA222" s="299">
        <v>10143</v>
      </c>
    </row>
    <row r="223" spans="17:27" ht="13.8">
      <c r="Q223" s="296">
        <f t="shared" si="3"/>
        <v>217</v>
      </c>
      <c r="R223" s="297" t="s">
        <v>1546</v>
      </c>
      <c r="S223" s="297" t="s">
        <v>1547</v>
      </c>
      <c r="T223" s="298" t="s">
        <v>1006</v>
      </c>
      <c r="U223" s="296" t="s">
        <v>1548</v>
      </c>
      <c r="V223" s="296" t="s">
        <v>1547</v>
      </c>
      <c r="W223" s="297" t="s">
        <v>2908</v>
      </c>
      <c r="X223" s="239" t="s">
        <v>3088</v>
      </c>
      <c r="Y223" s="239" t="s">
        <v>3124</v>
      </c>
      <c r="Z223" t="s">
        <v>3106</v>
      </c>
      <c r="AA223" s="299">
        <v>22456</v>
      </c>
    </row>
    <row r="224" spans="17:27" ht="13.8">
      <c r="Q224" s="296">
        <f t="shared" si="3"/>
        <v>218</v>
      </c>
      <c r="R224" s="297" t="s">
        <v>1549</v>
      </c>
      <c r="S224" s="297" t="s">
        <v>1550</v>
      </c>
      <c r="T224" s="298" t="s">
        <v>945</v>
      </c>
      <c r="U224" s="296" t="s">
        <v>1551</v>
      </c>
      <c r="V224" s="296" t="s">
        <v>2680</v>
      </c>
      <c r="W224" s="297" t="s">
        <v>2680</v>
      </c>
      <c r="X224" s="239" t="s">
        <v>3089</v>
      </c>
      <c r="Y224" s="239" t="s">
        <v>3124</v>
      </c>
      <c r="Z224" t="s">
        <v>3105</v>
      </c>
      <c r="AA224" s="299">
        <v>927</v>
      </c>
    </row>
    <row r="225" spans="17:27" ht="13.8">
      <c r="Q225" s="296">
        <f t="shared" si="3"/>
        <v>219</v>
      </c>
      <c r="R225" s="297" t="s">
        <v>1552</v>
      </c>
      <c r="S225" s="297" t="s">
        <v>1553</v>
      </c>
      <c r="T225" s="298" t="s">
        <v>976</v>
      </c>
      <c r="U225" s="296" t="s">
        <v>1554</v>
      </c>
      <c r="V225" s="296" t="s">
        <v>3046</v>
      </c>
      <c r="W225" s="297" t="s">
        <v>3046</v>
      </c>
      <c r="X225" s="239" t="s">
        <v>3090</v>
      </c>
      <c r="Y225" s="239" t="s">
        <v>3124</v>
      </c>
      <c r="Z225" t="s">
        <v>3112</v>
      </c>
      <c r="AA225" s="299">
        <v>60419</v>
      </c>
    </row>
    <row r="226" spans="17:27" ht="13.8">
      <c r="Q226" s="296">
        <f t="shared" si="3"/>
        <v>220</v>
      </c>
      <c r="R226" s="297" t="s">
        <v>1555</v>
      </c>
      <c r="S226" s="297" t="s">
        <v>1556</v>
      </c>
      <c r="T226" s="298" t="s">
        <v>908</v>
      </c>
      <c r="U226" s="296" t="s">
        <v>1557</v>
      </c>
      <c r="V226" s="296" t="s">
        <v>2681</v>
      </c>
      <c r="W226" s="297" t="s">
        <v>2681</v>
      </c>
      <c r="X226" s="239" t="s">
        <v>3089</v>
      </c>
      <c r="Y226" s="239" t="s">
        <v>3124</v>
      </c>
      <c r="Z226" t="s">
        <v>3105</v>
      </c>
      <c r="AA226" s="299">
        <v>4258</v>
      </c>
    </row>
    <row r="227" spans="17:27" ht="13.8">
      <c r="Q227" s="296">
        <f t="shared" si="3"/>
        <v>221</v>
      </c>
      <c r="R227" s="297" t="s">
        <v>1558</v>
      </c>
      <c r="S227" s="297" t="s">
        <v>1559</v>
      </c>
      <c r="T227" s="298" t="s">
        <v>1025</v>
      </c>
      <c r="U227" s="296" t="s">
        <v>1560</v>
      </c>
      <c r="V227" s="296" t="s">
        <v>1559</v>
      </c>
      <c r="W227" s="297" t="s">
        <v>2909</v>
      </c>
      <c r="X227" s="239" t="s">
        <v>3088</v>
      </c>
      <c r="Y227" s="239" t="s">
        <v>3125</v>
      </c>
      <c r="Z227" t="s">
        <v>3110</v>
      </c>
      <c r="AA227" s="299">
        <v>5177</v>
      </c>
    </row>
    <row r="228" spans="17:27" ht="13.8">
      <c r="Q228" s="296">
        <f t="shared" si="3"/>
        <v>222</v>
      </c>
      <c r="R228" s="297" t="s">
        <v>1561</v>
      </c>
      <c r="S228" s="297" t="s">
        <v>1562</v>
      </c>
      <c r="T228" s="298" t="s">
        <v>900</v>
      </c>
      <c r="U228" s="296" t="s">
        <v>1563</v>
      </c>
      <c r="V228" s="296" t="s">
        <v>1562</v>
      </c>
      <c r="W228" s="297" t="s">
        <v>2910</v>
      </c>
      <c r="X228" s="239" t="s">
        <v>3088</v>
      </c>
      <c r="Y228" s="239" t="s">
        <v>3125</v>
      </c>
      <c r="Z228" t="s">
        <v>3110</v>
      </c>
      <c r="AA228" s="299">
        <v>17400</v>
      </c>
    </row>
    <row r="229" spans="17:27" ht="13.8">
      <c r="Q229" s="296">
        <f t="shared" si="3"/>
        <v>223</v>
      </c>
      <c r="R229" s="297" t="s">
        <v>1564</v>
      </c>
      <c r="S229" s="297" t="s">
        <v>1565</v>
      </c>
      <c r="T229" s="298" t="s">
        <v>929</v>
      </c>
      <c r="U229" s="296" t="s">
        <v>1566</v>
      </c>
      <c r="V229" s="296" t="s">
        <v>2682</v>
      </c>
      <c r="W229" s="297" t="s">
        <v>2682</v>
      </c>
      <c r="X229" s="239" t="s">
        <v>3089</v>
      </c>
      <c r="Y229" s="239" t="s">
        <v>3124</v>
      </c>
      <c r="Z229" t="s">
        <v>3105</v>
      </c>
      <c r="AA229" s="299">
        <v>14362</v>
      </c>
    </row>
    <row r="230" spans="17:27" ht="13.8">
      <c r="Q230" s="296">
        <f t="shared" si="3"/>
        <v>224</v>
      </c>
      <c r="R230" s="297" t="s">
        <v>1567</v>
      </c>
      <c r="S230" s="297" t="s">
        <v>1568</v>
      </c>
      <c r="T230" s="298" t="s">
        <v>922</v>
      </c>
      <c r="U230" s="296" t="s">
        <v>1569</v>
      </c>
      <c r="V230" s="296" t="s">
        <v>1568</v>
      </c>
      <c r="W230" s="297" t="s">
        <v>2911</v>
      </c>
      <c r="X230" s="239" t="s">
        <v>3088</v>
      </c>
      <c r="Y230" s="239" t="s">
        <v>3125</v>
      </c>
      <c r="Z230" t="s">
        <v>3107</v>
      </c>
      <c r="AA230" s="299">
        <v>1835</v>
      </c>
    </row>
    <row r="231" spans="17:27" ht="13.8">
      <c r="Q231" s="296">
        <f t="shared" si="3"/>
        <v>225</v>
      </c>
      <c r="R231" s="297" t="s">
        <v>1570</v>
      </c>
      <c r="S231" s="297" t="s">
        <v>1571</v>
      </c>
      <c r="T231" s="298" t="s">
        <v>1266</v>
      </c>
      <c r="U231" s="296" t="s">
        <v>1572</v>
      </c>
      <c r="V231" s="296" t="s">
        <v>2683</v>
      </c>
      <c r="W231" s="297" t="s">
        <v>2683</v>
      </c>
      <c r="X231" s="239" t="s">
        <v>3089</v>
      </c>
      <c r="Y231" s="239" t="s">
        <v>3124</v>
      </c>
      <c r="Z231" t="s">
        <v>3105</v>
      </c>
      <c r="AA231" s="299">
        <v>1918</v>
      </c>
    </row>
    <row r="232" spans="17:27" ht="13.8">
      <c r="Q232" s="296">
        <f t="shared" si="3"/>
        <v>226</v>
      </c>
      <c r="R232" s="297" t="s">
        <v>1573</v>
      </c>
      <c r="S232" s="297" t="s">
        <v>1574</v>
      </c>
      <c r="T232" s="298" t="s">
        <v>1073</v>
      </c>
      <c r="U232" s="296" t="s">
        <v>1575</v>
      </c>
      <c r="V232" s="296" t="s">
        <v>1574</v>
      </c>
      <c r="W232" s="297" t="s">
        <v>2683</v>
      </c>
      <c r="X232" s="239" t="s">
        <v>3088</v>
      </c>
      <c r="Y232" s="239" t="s">
        <v>3125</v>
      </c>
      <c r="Z232" t="s">
        <v>3110</v>
      </c>
      <c r="AA232" s="299">
        <v>4391</v>
      </c>
    </row>
    <row r="233" spans="17:27" ht="13.8">
      <c r="Q233" s="296">
        <f t="shared" si="3"/>
        <v>227</v>
      </c>
      <c r="R233" s="297" t="s">
        <v>1576</v>
      </c>
      <c r="S233" s="297" t="s">
        <v>1574</v>
      </c>
      <c r="T233" s="298" t="s">
        <v>1266</v>
      </c>
      <c r="U233" s="296" t="s">
        <v>1577</v>
      </c>
      <c r="V233" s="296" t="s">
        <v>1574</v>
      </c>
      <c r="W233" s="297" t="s">
        <v>2683</v>
      </c>
      <c r="X233" s="239" t="s">
        <v>3088</v>
      </c>
      <c r="Y233" s="239" t="s">
        <v>3125</v>
      </c>
      <c r="Z233" t="s">
        <v>3110</v>
      </c>
      <c r="AA233" s="299">
        <v>17491</v>
      </c>
    </row>
    <row r="234" spans="17:27" ht="13.8">
      <c r="Q234" s="296">
        <f t="shared" si="3"/>
        <v>228</v>
      </c>
      <c r="R234" s="297" t="s">
        <v>1578</v>
      </c>
      <c r="S234" s="297" t="s">
        <v>1579</v>
      </c>
      <c r="T234" s="298" t="s">
        <v>900</v>
      </c>
      <c r="U234" s="296" t="s">
        <v>1580</v>
      </c>
      <c r="V234" s="296" t="s">
        <v>1579</v>
      </c>
      <c r="W234" s="297" t="s">
        <v>2912</v>
      </c>
      <c r="X234" s="239" t="s">
        <v>3088</v>
      </c>
      <c r="Y234" s="239" t="s">
        <v>3124</v>
      </c>
      <c r="Z234" t="s">
        <v>3108</v>
      </c>
      <c r="AA234" s="299">
        <v>53537</v>
      </c>
    </row>
    <row r="235" spans="17:27" ht="13.8">
      <c r="Q235" s="296">
        <f t="shared" si="3"/>
        <v>229</v>
      </c>
      <c r="R235" s="297" t="s">
        <v>1581</v>
      </c>
      <c r="S235" s="297" t="s">
        <v>1582</v>
      </c>
      <c r="T235" s="298" t="s">
        <v>922</v>
      </c>
      <c r="U235" s="296" t="s">
        <v>1583</v>
      </c>
      <c r="V235" s="296" t="s">
        <v>1582</v>
      </c>
      <c r="W235" s="297" t="s">
        <v>2913</v>
      </c>
      <c r="X235" s="239" t="s">
        <v>3088</v>
      </c>
      <c r="Y235" s="239" t="s">
        <v>3125</v>
      </c>
      <c r="Z235" t="s">
        <v>3110</v>
      </c>
      <c r="AA235" s="299">
        <v>5469</v>
      </c>
    </row>
    <row r="236" spans="17:27" ht="13.8">
      <c r="Q236" s="296">
        <f t="shared" si="3"/>
        <v>230</v>
      </c>
      <c r="R236" s="297" t="s">
        <v>1584</v>
      </c>
      <c r="S236" s="297" t="s">
        <v>1585</v>
      </c>
      <c r="T236" s="298" t="s">
        <v>900</v>
      </c>
      <c r="U236" s="296" t="s">
        <v>1586</v>
      </c>
      <c r="V236" s="296" t="s">
        <v>2684</v>
      </c>
      <c r="W236" s="297" t="s">
        <v>2684</v>
      </c>
      <c r="X236" s="239" t="s">
        <v>3089</v>
      </c>
      <c r="Y236" s="239" t="s">
        <v>3124</v>
      </c>
      <c r="Z236" t="s">
        <v>3105</v>
      </c>
      <c r="AA236" s="299">
        <v>828</v>
      </c>
    </row>
    <row r="237" spans="17:27" ht="13.8">
      <c r="Q237" s="296">
        <f t="shared" si="3"/>
        <v>231</v>
      </c>
      <c r="R237" s="297" t="s">
        <v>1587</v>
      </c>
      <c r="S237" s="297" t="s">
        <v>1588</v>
      </c>
      <c r="T237" s="298" t="s">
        <v>990</v>
      </c>
      <c r="U237" s="296" t="s">
        <v>1589</v>
      </c>
      <c r="V237" s="296" t="s">
        <v>1588</v>
      </c>
      <c r="W237" s="297" t="s">
        <v>2914</v>
      </c>
      <c r="X237" s="239" t="s">
        <v>3088</v>
      </c>
      <c r="Y237" s="239" t="s">
        <v>3124</v>
      </c>
      <c r="Z237" t="s">
        <v>3105</v>
      </c>
      <c r="AA237" s="299">
        <v>61176</v>
      </c>
    </row>
    <row r="238" spans="17:27" ht="13.8">
      <c r="Q238" s="296">
        <f t="shared" si="3"/>
        <v>232</v>
      </c>
      <c r="R238" s="297" t="s">
        <v>1590</v>
      </c>
      <c r="S238" s="297" t="s">
        <v>1591</v>
      </c>
      <c r="T238" s="298" t="s">
        <v>959</v>
      </c>
      <c r="U238" s="296" t="s">
        <v>1592</v>
      </c>
      <c r="V238" s="296" t="s">
        <v>2685</v>
      </c>
      <c r="W238" s="297" t="s">
        <v>2685</v>
      </c>
      <c r="X238" s="239" t="s">
        <v>3089</v>
      </c>
      <c r="Y238" s="239" t="s">
        <v>3124</v>
      </c>
      <c r="Z238" t="s">
        <v>3105</v>
      </c>
      <c r="AA238" s="299">
        <v>1650</v>
      </c>
    </row>
    <row r="239" spans="17:27" ht="13.8">
      <c r="Q239" s="296">
        <f t="shared" si="3"/>
        <v>233</v>
      </c>
      <c r="R239" s="297" t="s">
        <v>1593</v>
      </c>
      <c r="S239" s="297" t="s">
        <v>1594</v>
      </c>
      <c r="T239" s="298" t="s">
        <v>959</v>
      </c>
      <c r="U239" s="296" t="s">
        <v>1595</v>
      </c>
      <c r="V239" s="296" t="s">
        <v>1594</v>
      </c>
      <c r="W239" s="297" t="s">
        <v>2915</v>
      </c>
      <c r="X239" s="239" t="s">
        <v>3088</v>
      </c>
      <c r="Y239" s="239" t="s">
        <v>3124</v>
      </c>
      <c r="Z239" s="239" t="s">
        <v>3111</v>
      </c>
      <c r="AA239" s="299">
        <v>58544</v>
      </c>
    </row>
    <row r="240" spans="17:27" ht="13.8">
      <c r="Q240" s="296">
        <f t="shared" si="3"/>
        <v>234</v>
      </c>
      <c r="R240" s="297" t="s">
        <v>1596</v>
      </c>
      <c r="S240" s="297" t="s">
        <v>1597</v>
      </c>
      <c r="T240" s="298" t="s">
        <v>1126</v>
      </c>
      <c r="U240" s="296" t="s">
        <v>1598</v>
      </c>
      <c r="V240" s="296" t="s">
        <v>2686</v>
      </c>
      <c r="W240" s="297" t="s">
        <v>2686</v>
      </c>
      <c r="X240" s="239" t="s">
        <v>3089</v>
      </c>
      <c r="Y240" s="239" t="s">
        <v>3124</v>
      </c>
      <c r="Z240" t="s">
        <v>3105</v>
      </c>
      <c r="AA240" s="299">
        <v>5783</v>
      </c>
    </row>
    <row r="241" spans="17:27" ht="13.8">
      <c r="Q241" s="296">
        <f t="shared" si="3"/>
        <v>235</v>
      </c>
      <c r="R241" s="297" t="s">
        <v>1599</v>
      </c>
      <c r="S241" s="297" t="s">
        <v>1600</v>
      </c>
      <c r="T241" s="298" t="s">
        <v>1048</v>
      </c>
      <c r="U241" s="296" t="s">
        <v>1601</v>
      </c>
      <c r="V241" s="296" t="s">
        <v>1600</v>
      </c>
      <c r="W241" s="297" t="s">
        <v>2916</v>
      </c>
      <c r="X241" s="239" t="s">
        <v>3088</v>
      </c>
      <c r="Y241" s="239" t="s">
        <v>3124</v>
      </c>
      <c r="Z241" t="s">
        <v>3113</v>
      </c>
      <c r="AA241" s="299">
        <v>20538</v>
      </c>
    </row>
    <row r="242" spans="17:27" ht="13.8">
      <c r="Q242" s="296">
        <f t="shared" si="3"/>
        <v>236</v>
      </c>
      <c r="R242" s="297" t="s">
        <v>1602</v>
      </c>
      <c r="S242" s="297" t="s">
        <v>1603</v>
      </c>
      <c r="T242" s="298" t="s">
        <v>976</v>
      </c>
      <c r="U242" s="296" t="s">
        <v>1604</v>
      </c>
      <c r="V242" s="296" t="s">
        <v>3085</v>
      </c>
      <c r="W242" s="297" t="s">
        <v>3085</v>
      </c>
      <c r="X242" s="239" t="s">
        <v>3090</v>
      </c>
      <c r="Y242" s="239" t="s">
        <v>3124</v>
      </c>
      <c r="Z242" t="s">
        <v>3112</v>
      </c>
      <c r="AA242" s="299">
        <v>292449</v>
      </c>
    </row>
    <row r="243" spans="17:27" ht="13.8">
      <c r="Q243" s="296">
        <f t="shared" si="3"/>
        <v>237</v>
      </c>
      <c r="R243" s="297" t="s">
        <v>1605</v>
      </c>
      <c r="S243" s="297" t="s">
        <v>1606</v>
      </c>
      <c r="T243" s="298" t="s">
        <v>900</v>
      </c>
      <c r="U243" s="296" t="s">
        <v>1607</v>
      </c>
      <c r="V243" s="296" t="s">
        <v>2687</v>
      </c>
      <c r="W243" s="297" t="s">
        <v>2687</v>
      </c>
      <c r="X243" s="239" t="s">
        <v>3089</v>
      </c>
      <c r="Y243" s="239" t="s">
        <v>3124</v>
      </c>
      <c r="Z243" t="s">
        <v>3111</v>
      </c>
      <c r="AA243" s="299">
        <v>9755</v>
      </c>
    </row>
    <row r="244" spans="17:27" ht="13.8">
      <c r="Q244" s="296">
        <f t="shared" si="3"/>
        <v>238</v>
      </c>
      <c r="R244" s="297" t="s">
        <v>1608</v>
      </c>
      <c r="S244" s="297" t="s">
        <v>1609</v>
      </c>
      <c r="T244" s="298" t="s">
        <v>976</v>
      </c>
      <c r="U244" s="296" t="s">
        <v>1610</v>
      </c>
      <c r="V244" s="296" t="s">
        <v>3076</v>
      </c>
      <c r="W244" s="297" t="s">
        <v>3076</v>
      </c>
      <c r="X244" s="239" t="s">
        <v>2583</v>
      </c>
      <c r="Y244" s="239" t="s">
        <v>3124</v>
      </c>
      <c r="Z244" t="s">
        <v>3118</v>
      </c>
      <c r="AA244" s="299">
        <v>41999</v>
      </c>
    </row>
    <row r="245" spans="17:27" ht="13.8">
      <c r="Q245" s="296">
        <f t="shared" si="3"/>
        <v>239</v>
      </c>
      <c r="R245" s="297" t="s">
        <v>1611</v>
      </c>
      <c r="S245" s="297" t="s">
        <v>1612</v>
      </c>
      <c r="T245" s="298" t="s">
        <v>1006</v>
      </c>
      <c r="U245" s="296" t="s">
        <v>1613</v>
      </c>
      <c r="V245" s="296" t="s">
        <v>2688</v>
      </c>
      <c r="W245" s="297" t="s">
        <v>2688</v>
      </c>
      <c r="X245" s="239" t="s">
        <v>3089</v>
      </c>
      <c r="Y245" s="239" t="s">
        <v>3124</v>
      </c>
      <c r="Z245" t="s">
        <v>3105</v>
      </c>
      <c r="AA245" s="299">
        <v>8427</v>
      </c>
    </row>
    <row r="246" spans="17:27" ht="13.8">
      <c r="Q246" s="296">
        <f t="shared" si="3"/>
        <v>240</v>
      </c>
      <c r="R246" s="297" t="s">
        <v>1614</v>
      </c>
      <c r="S246" s="297" t="s">
        <v>1615</v>
      </c>
      <c r="T246" s="298" t="s">
        <v>900</v>
      </c>
      <c r="U246" s="296" t="s">
        <v>1616</v>
      </c>
      <c r="V246" s="296" t="s">
        <v>2689</v>
      </c>
      <c r="W246" s="297" t="s">
        <v>2689</v>
      </c>
      <c r="X246" s="239" t="s">
        <v>3089</v>
      </c>
      <c r="Y246" s="239" t="s">
        <v>3124</v>
      </c>
      <c r="Z246" t="s">
        <v>3105</v>
      </c>
      <c r="AA246" s="299">
        <v>7204</v>
      </c>
    </row>
    <row r="247" spans="17:27" ht="13.8">
      <c r="Q247" s="296">
        <f t="shared" si="3"/>
        <v>241</v>
      </c>
      <c r="R247" s="297" t="s">
        <v>1617</v>
      </c>
      <c r="S247" s="297" t="s">
        <v>1618</v>
      </c>
      <c r="T247" s="298" t="s">
        <v>1025</v>
      </c>
      <c r="U247" s="296" t="s">
        <v>1619</v>
      </c>
      <c r="V247" s="296" t="s">
        <v>1618</v>
      </c>
      <c r="W247" s="297" t="s">
        <v>2917</v>
      </c>
      <c r="X247" s="239" t="s">
        <v>3088</v>
      </c>
      <c r="Y247" s="239" t="s">
        <v>3125</v>
      </c>
      <c r="Z247" t="s">
        <v>3107</v>
      </c>
      <c r="AA247" s="299">
        <v>3802</v>
      </c>
    </row>
    <row r="248" spans="17:27" ht="13.8">
      <c r="Q248" s="296">
        <f t="shared" si="3"/>
        <v>242</v>
      </c>
      <c r="R248" s="297" t="s">
        <v>1620</v>
      </c>
      <c r="S248" s="297" t="s">
        <v>1621</v>
      </c>
      <c r="T248" s="298" t="s">
        <v>1048</v>
      </c>
      <c r="U248" s="296" t="s">
        <v>1622</v>
      </c>
      <c r="V248" s="296" t="s">
        <v>2690</v>
      </c>
      <c r="W248" s="297" t="s">
        <v>2690</v>
      </c>
      <c r="X248" s="239" t="s">
        <v>3089</v>
      </c>
      <c r="Y248" s="239" t="s">
        <v>3124</v>
      </c>
      <c r="Z248" t="s">
        <v>3105</v>
      </c>
      <c r="AA248" s="299">
        <v>9966</v>
      </c>
    </row>
    <row r="249" spans="17:27" ht="13.8">
      <c r="Q249" s="296">
        <f t="shared" si="3"/>
        <v>243</v>
      </c>
      <c r="R249" s="297" t="s">
        <v>1623</v>
      </c>
      <c r="S249" s="297" t="s">
        <v>1624</v>
      </c>
      <c r="T249" s="298" t="s">
        <v>922</v>
      </c>
      <c r="U249" s="296" t="s">
        <v>1625</v>
      </c>
      <c r="V249" s="296" t="s">
        <v>1624</v>
      </c>
      <c r="W249" s="297" t="s">
        <v>2918</v>
      </c>
      <c r="X249" s="239" t="s">
        <v>3088</v>
      </c>
      <c r="Y249" s="239" t="s">
        <v>3125</v>
      </c>
      <c r="Z249" t="s">
        <v>3110</v>
      </c>
      <c r="AA249" s="299">
        <v>2894</v>
      </c>
    </row>
    <row r="250" spans="17:27" ht="13.8">
      <c r="Q250" s="296">
        <f t="shared" si="3"/>
        <v>244</v>
      </c>
      <c r="R250" s="297" t="s">
        <v>1626</v>
      </c>
      <c r="S250" s="297" t="s">
        <v>1627</v>
      </c>
      <c r="T250" s="298" t="s">
        <v>959</v>
      </c>
      <c r="U250" s="296" t="s">
        <v>1628</v>
      </c>
      <c r="V250" s="296" t="s">
        <v>1627</v>
      </c>
      <c r="W250" s="297" t="s">
        <v>2919</v>
      </c>
      <c r="X250" s="239" t="s">
        <v>3088</v>
      </c>
      <c r="Y250" s="239" t="s">
        <v>3125</v>
      </c>
      <c r="Z250" t="s">
        <v>3110</v>
      </c>
      <c r="AA250" s="299">
        <v>28655</v>
      </c>
    </row>
    <row r="251" spans="17:27" ht="13.8">
      <c r="Q251" s="296">
        <f t="shared" si="3"/>
        <v>245</v>
      </c>
      <c r="R251" s="297" t="s">
        <v>1629</v>
      </c>
      <c r="S251" s="297" t="s">
        <v>1630</v>
      </c>
      <c r="T251" s="298" t="s">
        <v>929</v>
      </c>
      <c r="U251" s="296" t="s">
        <v>1631</v>
      </c>
      <c r="V251" s="296" t="s">
        <v>1630</v>
      </c>
      <c r="W251" s="297" t="s">
        <v>2920</v>
      </c>
      <c r="X251" s="239" t="s">
        <v>3088</v>
      </c>
      <c r="Y251" s="239" t="s">
        <v>3125</v>
      </c>
      <c r="Z251" t="s">
        <v>3110</v>
      </c>
      <c r="AA251" s="299">
        <v>2358</v>
      </c>
    </row>
    <row r="252" spans="17:27" ht="13.8">
      <c r="Q252" s="296">
        <f t="shared" si="3"/>
        <v>246</v>
      </c>
      <c r="R252" s="297" t="s">
        <v>1632</v>
      </c>
      <c r="S252" s="297" t="s">
        <v>3103</v>
      </c>
      <c r="T252" s="298" t="s">
        <v>900</v>
      </c>
      <c r="U252" s="296" t="s">
        <v>3104</v>
      </c>
      <c r="V252" s="296" t="s">
        <v>3102</v>
      </c>
      <c r="W252" s="297" t="s">
        <v>3102</v>
      </c>
      <c r="X252" s="239" t="s">
        <v>3089</v>
      </c>
      <c r="Y252" s="239" t="s">
        <v>3124</v>
      </c>
      <c r="Z252" t="s">
        <v>3105</v>
      </c>
      <c r="AA252" s="299">
        <v>1697</v>
      </c>
    </row>
    <row r="253" spans="17:27" ht="13.8">
      <c r="Q253" s="296">
        <f t="shared" si="3"/>
        <v>247</v>
      </c>
      <c r="R253" s="297" t="s">
        <v>1633</v>
      </c>
      <c r="S253" s="297" t="s">
        <v>1634</v>
      </c>
      <c r="T253" s="298" t="s">
        <v>959</v>
      </c>
      <c r="U253" s="296" t="s">
        <v>1635</v>
      </c>
      <c r="V253" s="296" t="s">
        <v>2691</v>
      </c>
      <c r="W253" s="297" t="s">
        <v>2691</v>
      </c>
      <c r="X253" s="239" t="s">
        <v>3089</v>
      </c>
      <c r="Y253" s="239" t="s">
        <v>3124</v>
      </c>
      <c r="Z253" t="s">
        <v>3105</v>
      </c>
      <c r="AA253" s="299">
        <v>2636</v>
      </c>
    </row>
    <row r="254" spans="17:27" ht="13.8">
      <c r="Q254" s="296">
        <f t="shared" si="3"/>
        <v>248</v>
      </c>
      <c r="R254" s="297" t="s">
        <v>1636</v>
      </c>
      <c r="S254" s="297" t="s">
        <v>1637</v>
      </c>
      <c r="T254" s="298" t="s">
        <v>959</v>
      </c>
      <c r="U254" s="296" t="s">
        <v>1638</v>
      </c>
      <c r="V254" s="296" t="s">
        <v>1637</v>
      </c>
      <c r="W254" s="297" t="s">
        <v>2921</v>
      </c>
      <c r="X254" s="239" t="s">
        <v>3088</v>
      </c>
      <c r="Y254" s="239" t="s">
        <v>3125</v>
      </c>
      <c r="Z254" t="s">
        <v>3110</v>
      </c>
      <c r="AA254" s="299">
        <v>135158</v>
      </c>
    </row>
    <row r="255" spans="17:27" ht="13.8">
      <c r="Q255" s="296">
        <f t="shared" si="3"/>
        <v>249</v>
      </c>
      <c r="R255" s="297" t="s">
        <v>1639</v>
      </c>
      <c r="S255" s="297" t="s">
        <v>1640</v>
      </c>
      <c r="T255" s="298" t="s">
        <v>1025</v>
      </c>
      <c r="U255" s="296" t="s">
        <v>1641</v>
      </c>
      <c r="V255" s="296" t="s">
        <v>3047</v>
      </c>
      <c r="W255" s="297" t="s">
        <v>3047</v>
      </c>
      <c r="X255" s="239" t="s">
        <v>3090</v>
      </c>
      <c r="Y255" s="239" t="s">
        <v>3124</v>
      </c>
      <c r="Z255" t="s">
        <v>3108</v>
      </c>
      <c r="AA255" s="299">
        <v>4139</v>
      </c>
    </row>
    <row r="256" spans="17:27" ht="13.8">
      <c r="Q256" s="296">
        <f t="shared" si="3"/>
        <v>250</v>
      </c>
      <c r="R256" s="297" t="s">
        <v>1642</v>
      </c>
      <c r="S256" s="297" t="s">
        <v>1643</v>
      </c>
      <c r="T256" s="298" t="s">
        <v>945</v>
      </c>
      <c r="U256" s="296" t="s">
        <v>1644</v>
      </c>
      <c r="V256" s="296" t="s">
        <v>2692</v>
      </c>
      <c r="W256" s="297" t="s">
        <v>2692</v>
      </c>
      <c r="X256" s="239" t="s">
        <v>3089</v>
      </c>
      <c r="Y256" s="239" t="s">
        <v>3124</v>
      </c>
      <c r="Z256" t="s">
        <v>3105</v>
      </c>
      <c r="AA256" s="299">
        <v>1978</v>
      </c>
    </row>
    <row r="257" spans="17:27" ht="13.8">
      <c r="Q257" s="296">
        <f t="shared" si="3"/>
        <v>251</v>
      </c>
      <c r="R257" s="297" t="s">
        <v>1645</v>
      </c>
      <c r="S257" s="297" t="s">
        <v>1646</v>
      </c>
      <c r="T257" s="298" t="s">
        <v>959</v>
      </c>
      <c r="U257" s="296" t="s">
        <v>1647</v>
      </c>
      <c r="V257" s="296" t="s">
        <v>2693</v>
      </c>
      <c r="W257" s="297" t="s">
        <v>2693</v>
      </c>
      <c r="X257" s="239" t="s">
        <v>3089</v>
      </c>
      <c r="Y257" s="239" t="s">
        <v>3124</v>
      </c>
      <c r="Z257" t="s">
        <v>3105</v>
      </c>
      <c r="AA257" s="299">
        <v>1787</v>
      </c>
    </row>
    <row r="258" spans="17:27" ht="13.8">
      <c r="Q258" s="296">
        <f t="shared" si="3"/>
        <v>252</v>
      </c>
      <c r="R258" s="297" t="s">
        <v>1648</v>
      </c>
      <c r="S258" s="297" t="s">
        <v>1649</v>
      </c>
      <c r="T258" s="298" t="s">
        <v>945</v>
      </c>
      <c r="U258" s="296" t="s">
        <v>1650</v>
      </c>
      <c r="V258" s="296" t="s">
        <v>2694</v>
      </c>
      <c r="W258" s="297" t="s">
        <v>2694</v>
      </c>
      <c r="X258" s="239" t="s">
        <v>3089</v>
      </c>
      <c r="Y258" s="239" t="s">
        <v>3124</v>
      </c>
      <c r="Z258" t="s">
        <v>3105</v>
      </c>
      <c r="AA258" s="299">
        <v>2955</v>
      </c>
    </row>
    <row r="259" spans="17:27" ht="13.8">
      <c r="Q259" s="296">
        <f t="shared" si="3"/>
        <v>253</v>
      </c>
      <c r="R259" s="297" t="s">
        <v>1651</v>
      </c>
      <c r="S259" s="297" t="s">
        <v>1652</v>
      </c>
      <c r="T259" s="298" t="s">
        <v>1073</v>
      </c>
      <c r="U259" s="296" t="s">
        <v>1653</v>
      </c>
      <c r="V259" s="296" t="s">
        <v>1652</v>
      </c>
      <c r="W259" s="297" t="s">
        <v>2922</v>
      </c>
      <c r="X259" s="239" t="s">
        <v>3088</v>
      </c>
      <c r="Y259" s="239" t="s">
        <v>3125</v>
      </c>
      <c r="Z259" t="s">
        <v>3107</v>
      </c>
      <c r="AA259" s="299">
        <v>3087</v>
      </c>
    </row>
    <row r="260" spans="17:27" ht="13.8">
      <c r="Q260" s="296">
        <f t="shared" si="3"/>
        <v>254</v>
      </c>
      <c r="R260" s="297" t="s">
        <v>1654</v>
      </c>
      <c r="S260" s="297" t="s">
        <v>1652</v>
      </c>
      <c r="T260" s="298" t="s">
        <v>1266</v>
      </c>
      <c r="U260" s="296" t="s">
        <v>1655</v>
      </c>
      <c r="V260" s="296" t="s">
        <v>1652</v>
      </c>
      <c r="W260" s="297" t="s">
        <v>2922</v>
      </c>
      <c r="X260" s="239" t="s">
        <v>3088</v>
      </c>
      <c r="Y260" s="239" t="s">
        <v>3124</v>
      </c>
      <c r="Z260" t="s">
        <v>3111</v>
      </c>
      <c r="AA260" s="299">
        <v>33077</v>
      </c>
    </row>
    <row r="261" spans="17:27" ht="13.8">
      <c r="Q261" s="296">
        <f t="shared" si="3"/>
        <v>255</v>
      </c>
      <c r="R261" s="297" t="s">
        <v>1656</v>
      </c>
      <c r="S261" s="297" t="s">
        <v>1657</v>
      </c>
      <c r="T261" s="298" t="s">
        <v>1025</v>
      </c>
      <c r="U261" s="296" t="s">
        <v>1658</v>
      </c>
      <c r="V261" s="296" t="s">
        <v>2695</v>
      </c>
      <c r="W261" s="297" t="s">
        <v>2695</v>
      </c>
      <c r="X261" s="239" t="s">
        <v>3089</v>
      </c>
      <c r="Y261" s="239" t="s">
        <v>3124</v>
      </c>
      <c r="Z261" t="s">
        <v>3105</v>
      </c>
      <c r="AA261" s="299">
        <v>1665</v>
      </c>
    </row>
    <row r="262" spans="17:27" ht="13.8">
      <c r="Q262" s="296">
        <f t="shared" si="3"/>
        <v>256</v>
      </c>
      <c r="R262" s="297" t="s">
        <v>1659</v>
      </c>
      <c r="S262" s="297" t="s">
        <v>1660</v>
      </c>
      <c r="T262" s="298" t="s">
        <v>1025</v>
      </c>
      <c r="U262" s="296" t="s">
        <v>1661</v>
      </c>
      <c r="V262" s="296" t="s">
        <v>1660</v>
      </c>
      <c r="W262" s="297" t="s">
        <v>2695</v>
      </c>
      <c r="X262" s="239" t="s">
        <v>3088</v>
      </c>
      <c r="Y262" s="239" t="s">
        <v>3125</v>
      </c>
      <c r="Z262" t="s">
        <v>3110</v>
      </c>
      <c r="AA262" s="299">
        <v>6195</v>
      </c>
    </row>
    <row r="263" spans="17:27" ht="13.8">
      <c r="Q263" s="296">
        <f t="shared" si="3"/>
        <v>257</v>
      </c>
      <c r="R263" s="297" t="s">
        <v>1662</v>
      </c>
      <c r="S263" s="297" t="s">
        <v>1663</v>
      </c>
      <c r="T263" s="298" t="s">
        <v>908</v>
      </c>
      <c r="U263" s="296" t="s">
        <v>1664</v>
      </c>
      <c r="V263" s="296" t="s">
        <v>2696</v>
      </c>
      <c r="W263" s="297" t="s">
        <v>2696</v>
      </c>
      <c r="X263" s="239" t="s">
        <v>3089</v>
      </c>
      <c r="Y263" s="239" t="s">
        <v>3124</v>
      </c>
      <c r="Z263" t="s">
        <v>3105</v>
      </c>
      <c r="AA263" s="299">
        <v>9304</v>
      </c>
    </row>
    <row r="264" spans="17:27" ht="13.8">
      <c r="Q264" s="296">
        <f t="shared" si="3"/>
        <v>258</v>
      </c>
      <c r="R264" s="297" t="s">
        <v>1665</v>
      </c>
      <c r="S264" s="297" t="s">
        <v>1666</v>
      </c>
      <c r="T264" s="298" t="s">
        <v>922</v>
      </c>
      <c r="U264" s="296" t="s">
        <v>1667</v>
      </c>
      <c r="V264" s="296" t="s">
        <v>1666</v>
      </c>
      <c r="W264" s="297" t="s">
        <v>2923</v>
      </c>
      <c r="X264" s="239" t="s">
        <v>3088</v>
      </c>
      <c r="Y264" s="239" t="s">
        <v>3125</v>
      </c>
      <c r="Z264" t="s">
        <v>3110</v>
      </c>
      <c r="AA264" s="299">
        <v>2670</v>
      </c>
    </row>
    <row r="265" spans="17:27" ht="13.8">
      <c r="Q265" s="296">
        <f t="shared" si="3"/>
        <v>259</v>
      </c>
      <c r="R265" s="297" t="s">
        <v>1668</v>
      </c>
      <c r="S265" s="297" t="s">
        <v>1669</v>
      </c>
      <c r="T265" s="298" t="s">
        <v>1048</v>
      </c>
      <c r="U265" s="296" t="s">
        <v>1670</v>
      </c>
      <c r="V265" s="296" t="s">
        <v>2697</v>
      </c>
      <c r="W265" s="297" t="s">
        <v>2697</v>
      </c>
      <c r="X265" s="239" t="s">
        <v>3089</v>
      </c>
      <c r="Y265" s="239" t="s">
        <v>3124</v>
      </c>
      <c r="Z265" t="s">
        <v>3106</v>
      </c>
      <c r="AA265" s="299">
        <v>10915</v>
      </c>
    </row>
    <row r="266" spans="17:27" ht="13.8">
      <c r="Q266" s="296">
        <f t="shared" si="3"/>
        <v>260</v>
      </c>
      <c r="R266" s="297" t="s">
        <v>1671</v>
      </c>
      <c r="S266" s="297" t="s">
        <v>1672</v>
      </c>
      <c r="T266" s="298" t="s">
        <v>1006</v>
      </c>
      <c r="U266" s="296" t="s">
        <v>1673</v>
      </c>
      <c r="V266" s="296" t="s">
        <v>3048</v>
      </c>
      <c r="W266" s="297" t="s">
        <v>3048</v>
      </c>
      <c r="X266" s="239" t="s">
        <v>3090</v>
      </c>
      <c r="Y266" s="239" t="s">
        <v>3124</v>
      </c>
      <c r="Z266" t="s">
        <v>3119</v>
      </c>
      <c r="AA266" s="299">
        <v>43738</v>
      </c>
    </row>
    <row r="267" spans="17:27" ht="13.8">
      <c r="Q267" s="296">
        <f t="shared" ref="Q267:Q330" si="4">Q266+1</f>
        <v>261</v>
      </c>
      <c r="R267" s="297" t="s">
        <v>1674</v>
      </c>
      <c r="S267" s="297" t="s">
        <v>1675</v>
      </c>
      <c r="T267" s="298" t="s">
        <v>945</v>
      </c>
      <c r="U267" s="296" t="s">
        <v>1676</v>
      </c>
      <c r="V267" s="296" t="s">
        <v>2698</v>
      </c>
      <c r="W267" s="297" t="s">
        <v>2698</v>
      </c>
      <c r="X267" s="239" t="s">
        <v>3089</v>
      </c>
      <c r="Y267" s="239" t="s">
        <v>3124</v>
      </c>
      <c r="Z267" t="s">
        <v>3105</v>
      </c>
      <c r="AA267" s="299">
        <v>21641</v>
      </c>
    </row>
    <row r="268" spans="17:27" ht="13.8">
      <c r="Q268" s="296">
        <f t="shared" si="4"/>
        <v>262</v>
      </c>
      <c r="R268" s="297" t="s">
        <v>1677</v>
      </c>
      <c r="S268" s="297" t="s">
        <v>1678</v>
      </c>
      <c r="T268" s="298" t="s">
        <v>904</v>
      </c>
      <c r="U268" s="296" t="s">
        <v>1679</v>
      </c>
      <c r="V268" s="296" t="s">
        <v>3049</v>
      </c>
      <c r="W268" s="297" t="s">
        <v>3049</v>
      </c>
      <c r="X268" s="239" t="s">
        <v>3090</v>
      </c>
      <c r="Y268" s="239" t="s">
        <v>3124</v>
      </c>
      <c r="Z268" t="s">
        <v>3106</v>
      </c>
      <c r="AA268" s="299">
        <v>6971</v>
      </c>
    </row>
    <row r="269" spans="17:27" ht="13.8">
      <c r="Q269" s="296">
        <f t="shared" si="4"/>
        <v>263</v>
      </c>
      <c r="R269" s="297" t="s">
        <v>1680</v>
      </c>
      <c r="S269" s="297" t="s">
        <v>1681</v>
      </c>
      <c r="T269" s="298" t="s">
        <v>959</v>
      </c>
      <c r="U269" s="296" t="s">
        <v>1682</v>
      </c>
      <c r="V269" s="296" t="s">
        <v>1681</v>
      </c>
      <c r="W269" s="297" t="s">
        <v>2924</v>
      </c>
      <c r="X269" s="239" t="s">
        <v>3088</v>
      </c>
      <c r="Y269" s="239" t="s">
        <v>3125</v>
      </c>
      <c r="Z269" t="s">
        <v>3110</v>
      </c>
      <c r="AA269" s="299">
        <v>20784</v>
      </c>
    </row>
    <row r="270" spans="17:27" ht="13.8">
      <c r="Q270" s="296">
        <f t="shared" si="4"/>
        <v>264</v>
      </c>
      <c r="R270" s="297" t="s">
        <v>1683</v>
      </c>
      <c r="S270" s="297" t="s">
        <v>1684</v>
      </c>
      <c r="T270" s="298" t="s">
        <v>1038</v>
      </c>
      <c r="U270" s="296" t="s">
        <v>1685</v>
      </c>
      <c r="V270" s="296" t="s">
        <v>1684</v>
      </c>
      <c r="W270" s="297" t="s">
        <v>2925</v>
      </c>
      <c r="X270" s="239" t="s">
        <v>3088</v>
      </c>
      <c r="Y270" s="239" t="s">
        <v>3125</v>
      </c>
      <c r="Z270" t="s">
        <v>3110</v>
      </c>
      <c r="AA270" s="299">
        <v>13360</v>
      </c>
    </row>
    <row r="271" spans="17:27" ht="13.8">
      <c r="Q271" s="296">
        <f t="shared" si="4"/>
        <v>265</v>
      </c>
      <c r="R271" s="297" t="s">
        <v>1686</v>
      </c>
      <c r="S271" s="297" t="s">
        <v>1687</v>
      </c>
      <c r="T271" s="298" t="s">
        <v>908</v>
      </c>
      <c r="U271" s="296" t="s">
        <v>1688</v>
      </c>
      <c r="V271" s="296" t="s">
        <v>2699</v>
      </c>
      <c r="W271" s="297" t="s">
        <v>2699</v>
      </c>
      <c r="X271" s="239" t="s">
        <v>3089</v>
      </c>
      <c r="Y271" s="239" t="s">
        <v>3124</v>
      </c>
      <c r="Z271" t="s">
        <v>3105</v>
      </c>
      <c r="AA271" s="299">
        <v>10987</v>
      </c>
    </row>
    <row r="272" spans="17:27" ht="13.8">
      <c r="Q272" s="296">
        <f t="shared" si="4"/>
        <v>266</v>
      </c>
      <c r="R272" s="297" t="s">
        <v>1689</v>
      </c>
      <c r="S272" s="297" t="s">
        <v>1690</v>
      </c>
      <c r="T272" s="298" t="s">
        <v>900</v>
      </c>
      <c r="U272" s="296" t="s">
        <v>1691</v>
      </c>
      <c r="V272" s="296" t="s">
        <v>2700</v>
      </c>
      <c r="W272" s="297" t="s">
        <v>2700</v>
      </c>
      <c r="X272" s="239" t="s">
        <v>3089</v>
      </c>
      <c r="Y272" s="239" t="s">
        <v>3124</v>
      </c>
      <c r="Z272" t="s">
        <v>3105</v>
      </c>
      <c r="AA272" s="299">
        <v>6131</v>
      </c>
    </row>
    <row r="273" spans="17:27" ht="13.8">
      <c r="Q273" s="296">
        <f t="shared" si="4"/>
        <v>267</v>
      </c>
      <c r="R273" s="297" t="s">
        <v>1692</v>
      </c>
      <c r="S273" s="297" t="s">
        <v>1693</v>
      </c>
      <c r="T273" s="298" t="s">
        <v>990</v>
      </c>
      <c r="U273" s="296" t="s">
        <v>1694</v>
      </c>
      <c r="V273" s="296" t="s">
        <v>1693</v>
      </c>
      <c r="W273" s="297" t="s">
        <v>2926</v>
      </c>
      <c r="X273" s="239" t="s">
        <v>3088</v>
      </c>
      <c r="Y273" s="239" t="s">
        <v>3124</v>
      </c>
      <c r="Z273" t="s">
        <v>3111</v>
      </c>
      <c r="AA273" s="299">
        <v>31330</v>
      </c>
    </row>
    <row r="274" spans="17:27" ht="13.8">
      <c r="Q274" s="296">
        <f t="shared" si="4"/>
        <v>268</v>
      </c>
      <c r="R274" s="297" t="s">
        <v>1695</v>
      </c>
      <c r="S274" s="297" t="s">
        <v>1696</v>
      </c>
      <c r="T274" s="298" t="s">
        <v>900</v>
      </c>
      <c r="U274" s="296" t="s">
        <v>1697</v>
      </c>
      <c r="V274" s="296" t="s">
        <v>1696</v>
      </c>
      <c r="W274" s="297" t="s">
        <v>3092</v>
      </c>
      <c r="X274" s="239" t="s">
        <v>3091</v>
      </c>
      <c r="Y274" s="239" t="s">
        <v>3126</v>
      </c>
      <c r="Z274" t="s">
        <v>3109</v>
      </c>
      <c r="AA274" s="299">
        <v>224</v>
      </c>
    </row>
    <row r="275" spans="17:27" ht="13.8">
      <c r="Q275" s="296">
        <f t="shared" si="4"/>
        <v>269</v>
      </c>
      <c r="R275" s="297" t="s">
        <v>1698</v>
      </c>
      <c r="S275" s="297" t="s">
        <v>1699</v>
      </c>
      <c r="T275" s="298" t="s">
        <v>908</v>
      </c>
      <c r="U275" s="296" t="s">
        <v>1700</v>
      </c>
      <c r="V275" s="296" t="s">
        <v>2701</v>
      </c>
      <c r="W275" s="297" t="s">
        <v>2701</v>
      </c>
      <c r="X275" s="239" t="s">
        <v>3089</v>
      </c>
      <c r="Y275" s="239" t="s">
        <v>3124</v>
      </c>
      <c r="Z275" t="s">
        <v>3111</v>
      </c>
      <c r="AA275" s="299">
        <v>26206</v>
      </c>
    </row>
    <row r="276" spans="17:27" ht="13.8">
      <c r="Q276" s="296">
        <f t="shared" si="4"/>
        <v>270</v>
      </c>
      <c r="R276" s="297" t="s">
        <v>1701</v>
      </c>
      <c r="S276" s="297" t="s">
        <v>1702</v>
      </c>
      <c r="T276" s="298" t="s">
        <v>1160</v>
      </c>
      <c r="U276" s="296" t="s">
        <v>1703</v>
      </c>
      <c r="V276" s="296" t="s">
        <v>1702</v>
      </c>
      <c r="W276" s="297" t="s">
        <v>2927</v>
      </c>
      <c r="X276" s="239" t="s">
        <v>3088</v>
      </c>
      <c r="Y276" s="239" t="s">
        <v>3124</v>
      </c>
      <c r="Z276" t="s">
        <v>3108</v>
      </c>
      <c r="AA276" s="299">
        <v>6000</v>
      </c>
    </row>
    <row r="277" spans="17:27" ht="13.8">
      <c r="Q277" s="296">
        <f t="shared" si="4"/>
        <v>271</v>
      </c>
      <c r="R277" s="297" t="s">
        <v>1704</v>
      </c>
      <c r="S277" s="297" t="s">
        <v>1705</v>
      </c>
      <c r="T277" s="298" t="s">
        <v>959</v>
      </c>
      <c r="U277" s="296" t="s">
        <v>1706</v>
      </c>
      <c r="V277" s="296" t="s">
        <v>1705</v>
      </c>
      <c r="W277" s="297" t="s">
        <v>2928</v>
      </c>
      <c r="X277" s="239" t="s">
        <v>3088</v>
      </c>
      <c r="Y277" s="239" t="s">
        <v>3126</v>
      </c>
      <c r="Z277" t="s">
        <v>3109</v>
      </c>
      <c r="AA277" s="299">
        <v>3153</v>
      </c>
    </row>
    <row r="278" spans="17:27" ht="13.8">
      <c r="Q278" s="296">
        <f t="shared" si="4"/>
        <v>272</v>
      </c>
      <c r="R278" s="297" t="s">
        <v>1707</v>
      </c>
      <c r="S278" s="297" t="s">
        <v>1708</v>
      </c>
      <c r="T278" s="298" t="s">
        <v>900</v>
      </c>
      <c r="U278" s="296" t="s">
        <v>1709</v>
      </c>
      <c r="V278" s="296" t="s">
        <v>3050</v>
      </c>
      <c r="W278" s="297" t="s">
        <v>3050</v>
      </c>
      <c r="X278" s="239" t="s">
        <v>3090</v>
      </c>
      <c r="Y278" s="239" t="s">
        <v>3124</v>
      </c>
      <c r="Z278" t="s">
        <v>3113</v>
      </c>
      <c r="AA278" s="299">
        <v>31667</v>
      </c>
    </row>
    <row r="279" spans="17:27" ht="13.8">
      <c r="Q279" s="296">
        <f t="shared" si="4"/>
        <v>273</v>
      </c>
      <c r="R279" s="297" t="s">
        <v>1710</v>
      </c>
      <c r="S279" s="297" t="s">
        <v>1711</v>
      </c>
      <c r="T279" s="298" t="s">
        <v>1048</v>
      </c>
      <c r="U279" s="296" t="s">
        <v>1712</v>
      </c>
      <c r="V279" s="296" t="s">
        <v>1711</v>
      </c>
      <c r="W279" s="297" t="s">
        <v>2929</v>
      </c>
      <c r="X279" s="239" t="s">
        <v>3088</v>
      </c>
      <c r="Y279" s="239" t="s">
        <v>3125</v>
      </c>
      <c r="Z279" t="s">
        <v>3110</v>
      </c>
      <c r="AA279" s="299">
        <v>8629</v>
      </c>
    </row>
    <row r="280" spans="17:27" ht="13.8">
      <c r="Q280" s="296">
        <f t="shared" si="4"/>
        <v>274</v>
      </c>
      <c r="R280" s="297" t="s">
        <v>1713</v>
      </c>
      <c r="S280" s="298" t="s">
        <v>1714</v>
      </c>
      <c r="T280" s="298" t="s">
        <v>904</v>
      </c>
      <c r="U280" s="296" t="s">
        <v>1715</v>
      </c>
      <c r="V280" s="296" t="s">
        <v>2702</v>
      </c>
      <c r="W280" s="298" t="s">
        <v>2702</v>
      </c>
      <c r="X280" s="239" t="s">
        <v>3089</v>
      </c>
      <c r="Y280" s="239" t="s">
        <v>3126</v>
      </c>
      <c r="Z280" t="s">
        <v>3109</v>
      </c>
      <c r="AA280" s="299">
        <v>893</v>
      </c>
    </row>
    <row r="281" spans="17:27" ht="13.8">
      <c r="Q281" s="296">
        <f t="shared" si="4"/>
        <v>275</v>
      </c>
      <c r="R281" s="297" t="s">
        <v>1716</v>
      </c>
      <c r="S281" s="297" t="s">
        <v>1717</v>
      </c>
      <c r="T281" s="298" t="s">
        <v>922</v>
      </c>
      <c r="U281" s="296" t="s">
        <v>1718</v>
      </c>
      <c r="V281" s="296" t="s">
        <v>1717</v>
      </c>
      <c r="W281" s="297" t="s">
        <v>2930</v>
      </c>
      <c r="X281" s="239" t="s">
        <v>3088</v>
      </c>
      <c r="Y281" s="239" t="s">
        <v>3124</v>
      </c>
      <c r="Z281" t="s">
        <v>3108</v>
      </c>
      <c r="AA281" s="299">
        <v>8776</v>
      </c>
    </row>
    <row r="282" spans="17:27" ht="13.8">
      <c r="Q282" s="296">
        <f t="shared" si="4"/>
        <v>276</v>
      </c>
      <c r="R282" s="297" t="s">
        <v>1719</v>
      </c>
      <c r="S282" s="297" t="s">
        <v>1720</v>
      </c>
      <c r="T282" s="298" t="s">
        <v>918</v>
      </c>
      <c r="U282" s="296" t="s">
        <v>1721</v>
      </c>
      <c r="V282" s="296" t="s">
        <v>1720</v>
      </c>
      <c r="W282" s="297" t="s">
        <v>2931</v>
      </c>
      <c r="X282" s="239" t="s">
        <v>3088</v>
      </c>
      <c r="Y282" s="239" t="s">
        <v>3125</v>
      </c>
      <c r="Z282" t="s">
        <v>3110</v>
      </c>
      <c r="AA282" s="299">
        <v>1717</v>
      </c>
    </row>
    <row r="283" spans="17:27" ht="13.8">
      <c r="Q283" s="296">
        <f t="shared" si="4"/>
        <v>277</v>
      </c>
      <c r="R283" s="297" t="s">
        <v>1722</v>
      </c>
      <c r="S283" s="297" t="s">
        <v>1723</v>
      </c>
      <c r="T283" s="298" t="s">
        <v>952</v>
      </c>
      <c r="U283" s="296" t="s">
        <v>1724</v>
      </c>
      <c r="V283" s="296" t="s">
        <v>1723</v>
      </c>
      <c r="W283" s="297" t="s">
        <v>2932</v>
      </c>
      <c r="X283" s="239" t="s">
        <v>3088</v>
      </c>
      <c r="Y283" s="239" t="s">
        <v>3124</v>
      </c>
      <c r="Z283" t="s">
        <v>3108</v>
      </c>
      <c r="AA283" s="299">
        <v>22057</v>
      </c>
    </row>
    <row r="284" spans="17:27" ht="13.8">
      <c r="Q284" s="296">
        <f t="shared" si="4"/>
        <v>278</v>
      </c>
      <c r="R284" s="297" t="s">
        <v>1725</v>
      </c>
      <c r="S284" s="297" t="s">
        <v>1726</v>
      </c>
      <c r="T284" s="298" t="s">
        <v>969</v>
      </c>
      <c r="U284" s="296" t="s">
        <v>1727</v>
      </c>
      <c r="V284" s="296" t="s">
        <v>1726</v>
      </c>
      <c r="W284" s="297" t="s">
        <v>2933</v>
      </c>
      <c r="X284" s="239" t="s">
        <v>3088</v>
      </c>
      <c r="Y284" s="239" t="s">
        <v>3125</v>
      </c>
      <c r="Z284" t="s">
        <v>3110</v>
      </c>
      <c r="AA284" s="299">
        <v>12803</v>
      </c>
    </row>
    <row r="285" spans="17:27" ht="13.8">
      <c r="Q285" s="296">
        <f t="shared" si="4"/>
        <v>279</v>
      </c>
      <c r="R285" s="297" t="s">
        <v>1728</v>
      </c>
      <c r="S285" s="297" t="s">
        <v>1729</v>
      </c>
      <c r="T285" s="298" t="s">
        <v>908</v>
      </c>
      <c r="U285" s="296" t="s">
        <v>1730</v>
      </c>
      <c r="V285" s="296" t="s">
        <v>1729</v>
      </c>
      <c r="W285" s="297" t="s">
        <v>2934</v>
      </c>
      <c r="X285" s="239" t="s">
        <v>3088</v>
      </c>
      <c r="Y285" s="239" t="s">
        <v>3126</v>
      </c>
      <c r="Z285" t="s">
        <v>3120</v>
      </c>
      <c r="AA285" s="299">
        <v>22519</v>
      </c>
    </row>
    <row r="286" spans="17:27" ht="13.8">
      <c r="Q286" s="296">
        <f t="shared" si="4"/>
        <v>280</v>
      </c>
      <c r="R286" s="297" t="s">
        <v>1731</v>
      </c>
      <c r="S286" s="297" t="s">
        <v>1732</v>
      </c>
      <c r="T286" s="298" t="s">
        <v>1048</v>
      </c>
      <c r="U286" s="296" t="s">
        <v>1733</v>
      </c>
      <c r="V286" s="296" t="s">
        <v>2703</v>
      </c>
      <c r="W286" s="297" t="s">
        <v>2703</v>
      </c>
      <c r="X286" s="239" t="s">
        <v>3089</v>
      </c>
      <c r="Y286" s="239" t="s">
        <v>3124</v>
      </c>
      <c r="Z286" t="s">
        <v>3105</v>
      </c>
      <c r="AA286" s="299">
        <v>16937</v>
      </c>
    </row>
    <row r="287" spans="17:27" ht="13.8">
      <c r="Q287" s="296">
        <f t="shared" si="4"/>
        <v>281</v>
      </c>
      <c r="R287" s="297" t="s">
        <v>1734</v>
      </c>
      <c r="S287" s="297" t="s">
        <v>1735</v>
      </c>
      <c r="T287" s="298" t="s">
        <v>945</v>
      </c>
      <c r="U287" s="296" t="s">
        <v>1736</v>
      </c>
      <c r="V287" s="296" t="s">
        <v>2704</v>
      </c>
      <c r="W287" s="297" t="s">
        <v>2704</v>
      </c>
      <c r="X287" s="239" t="s">
        <v>3089</v>
      </c>
      <c r="Y287" s="239" t="s">
        <v>3124</v>
      </c>
      <c r="Z287" t="s">
        <v>3105</v>
      </c>
      <c r="AA287" s="299">
        <v>4352</v>
      </c>
    </row>
    <row r="288" spans="17:27" ht="13.8">
      <c r="Q288" s="296">
        <f t="shared" si="4"/>
        <v>282</v>
      </c>
      <c r="R288" s="297" t="s">
        <v>1737</v>
      </c>
      <c r="S288" s="297" t="s">
        <v>1738</v>
      </c>
      <c r="T288" s="298" t="s">
        <v>908</v>
      </c>
      <c r="U288" s="296" t="s">
        <v>1739</v>
      </c>
      <c r="V288" s="296" t="s">
        <v>1738</v>
      </c>
      <c r="W288" s="297" t="s">
        <v>2935</v>
      </c>
      <c r="X288" s="239" t="s">
        <v>3088</v>
      </c>
      <c r="Y288" s="239" t="s">
        <v>3124</v>
      </c>
      <c r="Z288" t="s">
        <v>3106</v>
      </c>
      <c r="AA288" s="299">
        <v>25487</v>
      </c>
    </row>
    <row r="289" spans="17:27" ht="13.8">
      <c r="Q289" s="296">
        <f t="shared" si="4"/>
        <v>283</v>
      </c>
      <c r="R289" s="297" t="s">
        <v>1740</v>
      </c>
      <c r="S289" s="297" t="s">
        <v>1741</v>
      </c>
      <c r="T289" s="298" t="s">
        <v>900</v>
      </c>
      <c r="U289" s="296" t="s">
        <v>1742</v>
      </c>
      <c r="V289" s="296" t="s">
        <v>1741</v>
      </c>
      <c r="W289" s="297" t="s">
        <v>2936</v>
      </c>
      <c r="X289" s="239" t="s">
        <v>3088</v>
      </c>
      <c r="Y289" s="239" t="s">
        <v>3125</v>
      </c>
      <c r="Z289" t="s">
        <v>3110</v>
      </c>
      <c r="AA289" s="299">
        <v>40905</v>
      </c>
    </row>
    <row r="290" spans="17:27" ht="13.8">
      <c r="Q290" s="296">
        <f t="shared" si="4"/>
        <v>284</v>
      </c>
      <c r="R290" s="297" t="s">
        <v>1743</v>
      </c>
      <c r="S290" s="297" t="s">
        <v>1744</v>
      </c>
      <c r="T290" s="298" t="s">
        <v>900</v>
      </c>
      <c r="U290" s="296" t="s">
        <v>1745</v>
      </c>
      <c r="V290" s="296" t="s">
        <v>2705</v>
      </c>
      <c r="W290" s="297" t="s">
        <v>2705</v>
      </c>
      <c r="X290" s="239" t="s">
        <v>3089</v>
      </c>
      <c r="Y290" s="239" t="s">
        <v>3124</v>
      </c>
      <c r="Z290" t="s">
        <v>3105</v>
      </c>
      <c r="AA290" s="299">
        <v>5938</v>
      </c>
    </row>
    <row r="291" spans="17:27" ht="13.8">
      <c r="Q291" s="296">
        <f t="shared" si="4"/>
        <v>285</v>
      </c>
      <c r="R291" s="297" t="s">
        <v>1746</v>
      </c>
      <c r="S291" s="297" t="s">
        <v>1747</v>
      </c>
      <c r="T291" s="298" t="s">
        <v>959</v>
      </c>
      <c r="U291" s="296" t="s">
        <v>1748</v>
      </c>
      <c r="V291" s="296" t="s">
        <v>1747</v>
      </c>
      <c r="W291" s="297" t="s">
        <v>2937</v>
      </c>
      <c r="X291" s="239" t="s">
        <v>3088</v>
      </c>
      <c r="Y291" s="239" t="s">
        <v>3124</v>
      </c>
      <c r="Z291" t="s">
        <v>3113</v>
      </c>
      <c r="AA291" s="299">
        <v>45115</v>
      </c>
    </row>
    <row r="292" spans="17:27" ht="13.8">
      <c r="Q292" s="296">
        <f t="shared" si="4"/>
        <v>286</v>
      </c>
      <c r="R292" s="297" t="s">
        <v>1749</v>
      </c>
      <c r="S292" s="297" t="s">
        <v>1750</v>
      </c>
      <c r="T292" s="298" t="s">
        <v>918</v>
      </c>
      <c r="U292" s="296" t="s">
        <v>1751</v>
      </c>
      <c r="V292" s="296" t="s">
        <v>1750</v>
      </c>
      <c r="W292" s="297" t="s">
        <v>2938</v>
      </c>
      <c r="X292" s="239" t="s">
        <v>3088</v>
      </c>
      <c r="Y292" s="239" t="s">
        <v>3125</v>
      </c>
      <c r="Z292" t="s">
        <v>3107</v>
      </c>
      <c r="AA292" s="299">
        <v>1475</v>
      </c>
    </row>
    <row r="293" spans="17:27" ht="13.8">
      <c r="Q293" s="296">
        <f t="shared" si="4"/>
        <v>287</v>
      </c>
      <c r="R293" s="297" t="s">
        <v>1752</v>
      </c>
      <c r="S293" s="297" t="s">
        <v>1753</v>
      </c>
      <c r="T293" s="298" t="s">
        <v>969</v>
      </c>
      <c r="U293" s="296" t="s">
        <v>1754</v>
      </c>
      <c r="V293" s="296" t="s">
        <v>1753</v>
      </c>
      <c r="W293" s="297" t="s">
        <v>2939</v>
      </c>
      <c r="X293" s="239" t="s">
        <v>3088</v>
      </c>
      <c r="Y293" s="239" t="s">
        <v>3125</v>
      </c>
      <c r="Z293" t="s">
        <v>3110</v>
      </c>
      <c r="AA293" s="299">
        <v>8897</v>
      </c>
    </row>
    <row r="294" spans="17:27" ht="13.8">
      <c r="Q294" s="296">
        <f t="shared" si="4"/>
        <v>288</v>
      </c>
      <c r="R294" s="297" t="s">
        <v>1755</v>
      </c>
      <c r="S294" s="297" t="s">
        <v>1753</v>
      </c>
      <c r="T294" s="298" t="s">
        <v>922</v>
      </c>
      <c r="U294" s="296" t="s">
        <v>1756</v>
      </c>
      <c r="V294" s="296" t="s">
        <v>1753</v>
      </c>
      <c r="W294" s="297" t="s">
        <v>2939</v>
      </c>
      <c r="X294" s="239" t="s">
        <v>3088</v>
      </c>
      <c r="Y294" s="239" t="s">
        <v>3125</v>
      </c>
      <c r="Z294" t="s">
        <v>3110</v>
      </c>
      <c r="AA294" s="299">
        <v>7781</v>
      </c>
    </row>
    <row r="295" spans="17:27" ht="13.8">
      <c r="Q295" s="296">
        <f t="shared" si="4"/>
        <v>289</v>
      </c>
      <c r="R295" s="297" t="s">
        <v>1757</v>
      </c>
      <c r="S295" s="297" t="s">
        <v>1758</v>
      </c>
      <c r="T295" s="298" t="s">
        <v>959</v>
      </c>
      <c r="U295" s="296" t="s">
        <v>1759</v>
      </c>
      <c r="V295" s="296" t="s">
        <v>2706</v>
      </c>
      <c r="W295" s="297" t="s">
        <v>2706</v>
      </c>
      <c r="X295" s="239" t="s">
        <v>3089</v>
      </c>
      <c r="Y295" s="239" t="s">
        <v>3124</v>
      </c>
      <c r="Z295" t="s">
        <v>3105</v>
      </c>
      <c r="AA295" s="299">
        <v>331</v>
      </c>
    </row>
    <row r="296" spans="17:27" ht="13.8">
      <c r="Q296" s="296">
        <f t="shared" si="4"/>
        <v>290</v>
      </c>
      <c r="R296" s="297" t="s">
        <v>1760</v>
      </c>
      <c r="S296" s="297" t="s">
        <v>1761</v>
      </c>
      <c r="T296" s="298" t="s">
        <v>1160</v>
      </c>
      <c r="U296" s="296" t="s">
        <v>1762</v>
      </c>
      <c r="V296" s="296" t="s">
        <v>1761</v>
      </c>
      <c r="W296" s="297" t="s">
        <v>2940</v>
      </c>
      <c r="X296" s="239" t="s">
        <v>3088</v>
      </c>
      <c r="Y296" s="239" t="s">
        <v>3125</v>
      </c>
      <c r="Z296" t="s">
        <v>3110</v>
      </c>
      <c r="AA296" s="299">
        <v>15235</v>
      </c>
    </row>
    <row r="297" spans="17:27" ht="13.8">
      <c r="Q297" s="296">
        <f t="shared" si="4"/>
        <v>291</v>
      </c>
      <c r="R297" s="297" t="s">
        <v>1763</v>
      </c>
      <c r="S297" s="297" t="s">
        <v>1764</v>
      </c>
      <c r="T297" s="298" t="s">
        <v>986</v>
      </c>
      <c r="U297" s="296" t="s">
        <v>1765</v>
      </c>
      <c r="V297" s="296" t="s">
        <v>2707</v>
      </c>
      <c r="W297" s="297" t="s">
        <v>2707</v>
      </c>
      <c r="X297" s="239" t="s">
        <v>3089</v>
      </c>
      <c r="Y297" s="239" t="s">
        <v>3124</v>
      </c>
      <c r="Z297" t="s">
        <v>3105</v>
      </c>
      <c r="AA297" s="299">
        <v>10953</v>
      </c>
    </row>
    <row r="298" spans="17:27" ht="13.8">
      <c r="Q298" s="296">
        <f t="shared" si="4"/>
        <v>292</v>
      </c>
      <c r="R298" s="297" t="s">
        <v>1766</v>
      </c>
      <c r="S298" s="297" t="s">
        <v>1767</v>
      </c>
      <c r="T298" s="298" t="s">
        <v>969</v>
      </c>
      <c r="U298" s="296" t="s">
        <v>1768</v>
      </c>
      <c r="V298" s="296" t="s">
        <v>1767</v>
      </c>
      <c r="W298" s="297" t="s">
        <v>2941</v>
      </c>
      <c r="X298" s="239" t="s">
        <v>3088</v>
      </c>
      <c r="Y298" s="239" t="s">
        <v>3124</v>
      </c>
      <c r="Z298" t="s">
        <v>3111</v>
      </c>
      <c r="AA298" s="299">
        <v>19980</v>
      </c>
    </row>
    <row r="299" spans="17:27" ht="13.8">
      <c r="Q299" s="296">
        <f t="shared" si="4"/>
        <v>293</v>
      </c>
      <c r="R299" s="297" t="s">
        <v>1769</v>
      </c>
      <c r="S299" s="297" t="s">
        <v>1770</v>
      </c>
      <c r="T299" s="298" t="s">
        <v>990</v>
      </c>
      <c r="U299" s="296" t="s">
        <v>1771</v>
      </c>
      <c r="V299" s="296" t="s">
        <v>1770</v>
      </c>
      <c r="W299" s="297" t="s">
        <v>2942</v>
      </c>
      <c r="X299" s="239" t="s">
        <v>3088</v>
      </c>
      <c r="Y299" s="239" t="s">
        <v>3125</v>
      </c>
      <c r="Z299" t="s">
        <v>3110</v>
      </c>
      <c r="AA299" s="299">
        <v>25684</v>
      </c>
    </row>
    <row r="300" spans="17:27" ht="13.8">
      <c r="Q300" s="296">
        <f t="shared" si="4"/>
        <v>294</v>
      </c>
      <c r="R300" s="297" t="s">
        <v>1772</v>
      </c>
      <c r="S300" s="298" t="s">
        <v>1773</v>
      </c>
      <c r="T300" s="298" t="s">
        <v>904</v>
      </c>
      <c r="U300" s="296" t="s">
        <v>1774</v>
      </c>
      <c r="V300" s="296" t="s">
        <v>1773</v>
      </c>
      <c r="W300" s="298" t="s">
        <v>1773</v>
      </c>
      <c r="X300" s="239" t="s">
        <v>3090</v>
      </c>
      <c r="Y300" s="239" t="s">
        <v>3126</v>
      </c>
      <c r="Z300" t="s">
        <v>3109</v>
      </c>
      <c r="AA300" s="299">
        <v>5317</v>
      </c>
    </row>
    <row r="301" spans="17:27" ht="13.8">
      <c r="Q301" s="296">
        <f t="shared" si="4"/>
        <v>295</v>
      </c>
      <c r="R301" s="297" t="s">
        <v>1775</v>
      </c>
      <c r="S301" s="297" t="s">
        <v>1776</v>
      </c>
      <c r="T301" s="298" t="s">
        <v>900</v>
      </c>
      <c r="U301" s="296" t="s">
        <v>1777</v>
      </c>
      <c r="V301" s="296" t="s">
        <v>1776</v>
      </c>
      <c r="W301" s="297" t="s">
        <v>2943</v>
      </c>
      <c r="X301" s="239" t="s">
        <v>3088</v>
      </c>
      <c r="Y301" s="239" t="s">
        <v>3124</v>
      </c>
      <c r="Z301" t="s">
        <v>3113</v>
      </c>
      <c r="AA301" s="299">
        <v>41502</v>
      </c>
    </row>
    <row r="302" spans="17:27" ht="13.8">
      <c r="Q302" s="296">
        <f t="shared" si="4"/>
        <v>296</v>
      </c>
      <c r="R302" s="297" t="s">
        <v>1778</v>
      </c>
      <c r="S302" s="297" t="s">
        <v>1779</v>
      </c>
      <c r="T302" s="298" t="s">
        <v>900</v>
      </c>
      <c r="U302" s="296" t="s">
        <v>1780</v>
      </c>
      <c r="V302" s="296" t="s">
        <v>2708</v>
      </c>
      <c r="W302" s="297" t="s">
        <v>2708</v>
      </c>
      <c r="X302" s="239" t="s">
        <v>3089</v>
      </c>
      <c r="Y302" s="239" t="s">
        <v>3124</v>
      </c>
      <c r="Z302" t="s">
        <v>3105</v>
      </c>
      <c r="AA302" s="299">
        <v>9565</v>
      </c>
    </row>
    <row r="303" spans="17:27" ht="13.8">
      <c r="Q303" s="296">
        <f t="shared" si="4"/>
        <v>297</v>
      </c>
      <c r="R303" s="297" t="s">
        <v>1781</v>
      </c>
      <c r="S303" s="297" t="s">
        <v>1782</v>
      </c>
      <c r="T303" s="298" t="s">
        <v>1073</v>
      </c>
      <c r="U303" s="296" t="s">
        <v>1783</v>
      </c>
      <c r="V303" s="296" t="s">
        <v>1782</v>
      </c>
      <c r="W303" s="297" t="s">
        <v>2944</v>
      </c>
      <c r="X303" s="239" t="s">
        <v>3088</v>
      </c>
      <c r="Y303" s="239" t="s">
        <v>3125</v>
      </c>
      <c r="Z303" t="s">
        <v>3107</v>
      </c>
      <c r="AA303" s="299">
        <v>6218</v>
      </c>
    </row>
    <row r="304" spans="17:27" ht="13.8">
      <c r="Q304" s="296">
        <f t="shared" si="4"/>
        <v>298</v>
      </c>
      <c r="R304" s="297" t="s">
        <v>1784</v>
      </c>
      <c r="S304" s="297" t="s">
        <v>1785</v>
      </c>
      <c r="T304" s="298" t="s">
        <v>908</v>
      </c>
      <c r="U304" s="296" t="s">
        <v>1786</v>
      </c>
      <c r="V304" s="296" t="s">
        <v>2709</v>
      </c>
      <c r="W304" s="297" t="s">
        <v>2709</v>
      </c>
      <c r="X304" s="239" t="s">
        <v>3089</v>
      </c>
      <c r="Y304" s="239" t="s">
        <v>3124</v>
      </c>
      <c r="Z304" t="s">
        <v>3105</v>
      </c>
      <c r="AA304" s="299">
        <v>10080</v>
      </c>
    </row>
    <row r="305" spans="17:27" ht="13.8">
      <c r="Q305" s="296">
        <f t="shared" si="4"/>
        <v>299</v>
      </c>
      <c r="R305" s="297" t="s">
        <v>1787</v>
      </c>
      <c r="S305" s="297" t="s">
        <v>1788</v>
      </c>
      <c r="T305" s="298" t="s">
        <v>969</v>
      </c>
      <c r="U305" s="296" t="s">
        <v>1789</v>
      </c>
      <c r="V305" s="296" t="s">
        <v>2710</v>
      </c>
      <c r="W305" s="297" t="s">
        <v>2710</v>
      </c>
      <c r="X305" s="239" t="s">
        <v>3089</v>
      </c>
      <c r="Y305" s="239" t="s">
        <v>3124</v>
      </c>
      <c r="Z305" t="s">
        <v>3121</v>
      </c>
      <c r="AA305" s="299">
        <v>4264</v>
      </c>
    </row>
    <row r="306" spans="17:27" ht="13.8">
      <c r="Q306" s="296">
        <f t="shared" si="4"/>
        <v>300</v>
      </c>
      <c r="R306" s="297" t="s">
        <v>1790</v>
      </c>
      <c r="S306" s="297" t="s">
        <v>1791</v>
      </c>
      <c r="T306" s="298" t="s">
        <v>969</v>
      </c>
      <c r="U306" s="296" t="s">
        <v>1792</v>
      </c>
      <c r="V306" s="296" t="s">
        <v>1791</v>
      </c>
      <c r="W306" s="297" t="s">
        <v>2945</v>
      </c>
      <c r="X306" s="239" t="s">
        <v>3088</v>
      </c>
      <c r="Y306" s="239" t="s">
        <v>3124</v>
      </c>
      <c r="Z306" t="s">
        <v>3111</v>
      </c>
      <c r="AA306" s="299">
        <v>24497</v>
      </c>
    </row>
    <row r="307" spans="17:27" ht="13.8">
      <c r="Q307" s="296">
        <f t="shared" si="4"/>
        <v>301</v>
      </c>
      <c r="R307" s="297" t="s">
        <v>1793</v>
      </c>
      <c r="S307" s="297" t="s">
        <v>1794</v>
      </c>
      <c r="T307" s="298" t="s">
        <v>1048</v>
      </c>
      <c r="U307" s="296" t="s">
        <v>1795</v>
      </c>
      <c r="V307" s="296" t="s">
        <v>2711</v>
      </c>
      <c r="W307" s="297" t="s">
        <v>2711</v>
      </c>
      <c r="X307" s="239" t="s">
        <v>3089</v>
      </c>
      <c r="Y307" s="239" t="s">
        <v>3124</v>
      </c>
      <c r="Z307" t="s">
        <v>3105</v>
      </c>
      <c r="AA307" s="299">
        <v>4981</v>
      </c>
    </row>
    <row r="308" spans="17:27" ht="13.8">
      <c r="Q308" s="296">
        <f t="shared" si="4"/>
        <v>302</v>
      </c>
      <c r="R308" s="297" t="s">
        <v>1796</v>
      </c>
      <c r="S308" s="297" t="s">
        <v>1797</v>
      </c>
      <c r="T308" s="298" t="s">
        <v>1048</v>
      </c>
      <c r="U308" s="296" t="s">
        <v>1798</v>
      </c>
      <c r="V308" s="296" t="s">
        <v>1797</v>
      </c>
      <c r="W308" s="297" t="s">
        <v>2711</v>
      </c>
      <c r="X308" s="239" t="s">
        <v>3088</v>
      </c>
      <c r="Y308" s="239" t="s">
        <v>3125</v>
      </c>
      <c r="Z308" t="s">
        <v>3110</v>
      </c>
      <c r="AA308" s="299">
        <v>6016</v>
      </c>
    </row>
    <row r="309" spans="17:27" ht="13.8">
      <c r="Q309" s="296">
        <f t="shared" si="4"/>
        <v>303</v>
      </c>
      <c r="R309" s="297" t="s">
        <v>1799</v>
      </c>
      <c r="S309" s="297" t="s">
        <v>1800</v>
      </c>
      <c r="T309" s="298" t="s">
        <v>945</v>
      </c>
      <c r="U309" s="296" t="s">
        <v>1801</v>
      </c>
      <c r="V309" s="296" t="s">
        <v>2712</v>
      </c>
      <c r="W309" s="297" t="s">
        <v>2712</v>
      </c>
      <c r="X309" s="239" t="s">
        <v>3089</v>
      </c>
      <c r="Y309" s="239" t="s">
        <v>3124</v>
      </c>
      <c r="Z309" t="s">
        <v>3105</v>
      </c>
      <c r="AA309" s="299">
        <v>3820</v>
      </c>
    </row>
    <row r="310" spans="17:27" ht="13.8">
      <c r="Q310" s="296">
        <f t="shared" si="4"/>
        <v>304</v>
      </c>
      <c r="R310" s="297" t="s">
        <v>1802</v>
      </c>
      <c r="S310" s="297" t="s">
        <v>1803</v>
      </c>
      <c r="T310" s="298" t="s">
        <v>1126</v>
      </c>
      <c r="U310" s="296" t="s">
        <v>1804</v>
      </c>
      <c r="V310" s="296" t="s">
        <v>2713</v>
      </c>
      <c r="W310" s="297" t="s">
        <v>2713</v>
      </c>
      <c r="X310" s="239" t="s">
        <v>3089</v>
      </c>
      <c r="Y310" s="239" t="s">
        <v>3124</v>
      </c>
      <c r="Z310" t="s">
        <v>3105</v>
      </c>
      <c r="AA310" s="299">
        <v>15049</v>
      </c>
    </row>
    <row r="311" spans="17:27" ht="13.8">
      <c r="Q311" s="296">
        <f t="shared" si="4"/>
        <v>305</v>
      </c>
      <c r="R311" s="297" t="s">
        <v>1805</v>
      </c>
      <c r="S311" s="297" t="s">
        <v>1806</v>
      </c>
      <c r="T311" s="298" t="s">
        <v>952</v>
      </c>
      <c r="U311" s="296" t="s">
        <v>1807</v>
      </c>
      <c r="V311" s="296" t="s">
        <v>1806</v>
      </c>
      <c r="W311" s="297" t="s">
        <v>2946</v>
      </c>
      <c r="X311" s="239" t="s">
        <v>3088</v>
      </c>
      <c r="Y311" s="239" t="s">
        <v>3125</v>
      </c>
      <c r="Z311" t="s">
        <v>3107</v>
      </c>
      <c r="AA311" s="299">
        <v>20380</v>
      </c>
    </row>
    <row r="312" spans="17:27" ht="13.8">
      <c r="Q312" s="296">
        <f t="shared" si="4"/>
        <v>306</v>
      </c>
      <c r="R312" s="297" t="s">
        <v>1808</v>
      </c>
      <c r="S312" s="297" t="s">
        <v>1809</v>
      </c>
      <c r="T312" s="298" t="s">
        <v>1126</v>
      </c>
      <c r="U312" s="296" t="s">
        <v>1810</v>
      </c>
      <c r="V312" s="296" t="s">
        <v>1126</v>
      </c>
      <c r="W312" s="297" t="s">
        <v>1126</v>
      </c>
      <c r="X312" s="239" t="s">
        <v>3089</v>
      </c>
      <c r="Y312" s="239" t="s">
        <v>3124</v>
      </c>
      <c r="Z312" t="s">
        <v>3105</v>
      </c>
      <c r="AA312" s="299">
        <v>14636</v>
      </c>
    </row>
    <row r="313" spans="17:27" ht="13.8">
      <c r="Q313" s="296">
        <f t="shared" si="4"/>
        <v>307</v>
      </c>
      <c r="R313" s="297" t="s">
        <v>1811</v>
      </c>
      <c r="S313" s="297" t="s">
        <v>1812</v>
      </c>
      <c r="T313" s="298" t="s">
        <v>900</v>
      </c>
      <c r="U313" s="296" t="s">
        <v>1813</v>
      </c>
      <c r="V313" s="296" t="s">
        <v>1812</v>
      </c>
      <c r="W313" s="297" t="s">
        <v>2947</v>
      </c>
      <c r="X313" s="239" t="s">
        <v>3088</v>
      </c>
      <c r="Y313" s="239" t="s">
        <v>3124</v>
      </c>
      <c r="Z313" t="s">
        <v>3111</v>
      </c>
      <c r="AA313" s="299">
        <v>67106</v>
      </c>
    </row>
    <row r="314" spans="17:27" ht="13.8">
      <c r="Q314" s="296">
        <f t="shared" si="4"/>
        <v>308</v>
      </c>
      <c r="R314" s="297" t="s">
        <v>1814</v>
      </c>
      <c r="S314" s="297" t="s">
        <v>1815</v>
      </c>
      <c r="T314" s="298" t="s">
        <v>908</v>
      </c>
      <c r="U314" s="296" t="s">
        <v>1816</v>
      </c>
      <c r="V314" s="296" t="s">
        <v>2714</v>
      </c>
      <c r="W314" s="297" t="s">
        <v>2714</v>
      </c>
      <c r="X314" s="239" t="s">
        <v>3089</v>
      </c>
      <c r="Y314" s="239" t="s">
        <v>3124</v>
      </c>
      <c r="Z314" t="s">
        <v>3105</v>
      </c>
      <c r="AA314" s="299">
        <v>7014</v>
      </c>
    </row>
    <row r="315" spans="17:27" ht="13.8">
      <c r="Q315" s="296">
        <f t="shared" si="4"/>
        <v>309</v>
      </c>
      <c r="R315" s="297" t="s">
        <v>1817</v>
      </c>
      <c r="S315" s="297" t="s">
        <v>1818</v>
      </c>
      <c r="T315" s="298" t="s">
        <v>1025</v>
      </c>
      <c r="U315" s="296" t="s">
        <v>1819</v>
      </c>
      <c r="V315" s="296" t="s">
        <v>2715</v>
      </c>
      <c r="W315" s="297" t="s">
        <v>2715</v>
      </c>
      <c r="X315" s="239" t="s">
        <v>3089</v>
      </c>
      <c r="Y315" s="239" t="s">
        <v>3124</v>
      </c>
      <c r="Z315" t="s">
        <v>3105</v>
      </c>
      <c r="AA315" s="299">
        <v>1232</v>
      </c>
    </row>
    <row r="316" spans="17:27" ht="13.8">
      <c r="Q316" s="296">
        <f t="shared" si="4"/>
        <v>310</v>
      </c>
      <c r="R316" s="297" t="s">
        <v>1820</v>
      </c>
      <c r="S316" s="297" t="s">
        <v>1821</v>
      </c>
      <c r="T316" s="298" t="s">
        <v>990</v>
      </c>
      <c r="U316" s="296" t="s">
        <v>1822</v>
      </c>
      <c r="V316" s="296" t="s">
        <v>1821</v>
      </c>
      <c r="W316" s="297" t="s">
        <v>2948</v>
      </c>
      <c r="X316" s="239" t="s">
        <v>3088</v>
      </c>
      <c r="Y316" s="239" t="s">
        <v>3125</v>
      </c>
      <c r="Z316" t="s">
        <v>3110</v>
      </c>
      <c r="AA316" s="299">
        <v>21710</v>
      </c>
    </row>
    <row r="317" spans="17:27" ht="13.8">
      <c r="Q317" s="296">
        <f t="shared" si="4"/>
        <v>311</v>
      </c>
      <c r="R317" s="297" t="s">
        <v>1823</v>
      </c>
      <c r="S317" s="297" t="s">
        <v>1824</v>
      </c>
      <c r="T317" s="298" t="s">
        <v>986</v>
      </c>
      <c r="U317" s="296" t="s">
        <v>1825</v>
      </c>
      <c r="V317" s="296" t="s">
        <v>2716</v>
      </c>
      <c r="W317" s="297" t="s">
        <v>2716</v>
      </c>
      <c r="X317" s="239" t="s">
        <v>3089</v>
      </c>
      <c r="Y317" s="239" t="s">
        <v>3124</v>
      </c>
      <c r="Z317" t="s">
        <v>3105</v>
      </c>
      <c r="AA317" s="299">
        <v>448</v>
      </c>
    </row>
    <row r="318" spans="17:27" ht="13.8">
      <c r="Q318" s="296">
        <f t="shared" si="4"/>
        <v>312</v>
      </c>
      <c r="R318" s="297" t="s">
        <v>1826</v>
      </c>
      <c r="S318" s="297" t="s">
        <v>1827</v>
      </c>
      <c r="T318" s="298" t="s">
        <v>900</v>
      </c>
      <c r="U318" s="296" t="s">
        <v>1828</v>
      </c>
      <c r="V318" s="296" t="s">
        <v>1827</v>
      </c>
      <c r="W318" s="297" t="s">
        <v>2716</v>
      </c>
      <c r="X318" s="239" t="s">
        <v>3088</v>
      </c>
      <c r="Y318" s="239" t="s">
        <v>3125</v>
      </c>
      <c r="Z318" t="s">
        <v>3110</v>
      </c>
      <c r="AA318" s="299">
        <v>10376</v>
      </c>
    </row>
    <row r="319" spans="17:27" ht="13.8">
      <c r="Q319" s="296">
        <f t="shared" si="4"/>
        <v>313</v>
      </c>
      <c r="R319" s="297" t="s">
        <v>1829</v>
      </c>
      <c r="S319" s="297" t="s">
        <v>1830</v>
      </c>
      <c r="T319" s="298" t="s">
        <v>1126</v>
      </c>
      <c r="U319" s="296" t="s">
        <v>1831</v>
      </c>
      <c r="V319" s="296" t="s">
        <v>2717</v>
      </c>
      <c r="W319" s="297" t="s">
        <v>2717</v>
      </c>
      <c r="X319" s="239" t="s">
        <v>3089</v>
      </c>
      <c r="Y319" s="239" t="s">
        <v>3124</v>
      </c>
      <c r="Z319" t="s">
        <v>3105</v>
      </c>
      <c r="AA319" s="299">
        <v>7037</v>
      </c>
    </row>
    <row r="320" spans="17:27" ht="13.8">
      <c r="Q320" s="296">
        <f t="shared" si="4"/>
        <v>314</v>
      </c>
      <c r="R320" s="297" t="s">
        <v>1832</v>
      </c>
      <c r="S320" s="297" t="s">
        <v>1833</v>
      </c>
      <c r="T320" s="298" t="s">
        <v>1073</v>
      </c>
      <c r="U320" s="296" t="s">
        <v>1834</v>
      </c>
      <c r="V320" s="296" t="s">
        <v>3051</v>
      </c>
      <c r="W320" s="297" t="s">
        <v>3051</v>
      </c>
      <c r="X320" s="239" t="s">
        <v>3090</v>
      </c>
      <c r="Y320" s="239" t="s">
        <v>3126</v>
      </c>
      <c r="Z320" t="s">
        <v>3120</v>
      </c>
      <c r="AA320" s="299">
        <v>27491</v>
      </c>
    </row>
    <row r="321" spans="17:27" ht="13.8">
      <c r="Q321" s="296">
        <f t="shared" si="4"/>
        <v>315</v>
      </c>
      <c r="R321" s="297" t="s">
        <v>1835</v>
      </c>
      <c r="S321" s="297" t="s">
        <v>1836</v>
      </c>
      <c r="T321" s="298" t="s">
        <v>1048</v>
      </c>
      <c r="U321" s="296" t="s">
        <v>1837</v>
      </c>
      <c r="V321" s="296" t="s">
        <v>1836</v>
      </c>
      <c r="W321" s="297" t="s">
        <v>2949</v>
      </c>
      <c r="X321" s="239" t="s">
        <v>3088</v>
      </c>
      <c r="Y321" s="239" t="s">
        <v>3124</v>
      </c>
      <c r="Z321" t="s">
        <v>3113</v>
      </c>
      <c r="AA321" s="299">
        <v>4015</v>
      </c>
    </row>
    <row r="322" spans="17:27" ht="13.8">
      <c r="Q322" s="296">
        <f t="shared" si="4"/>
        <v>316</v>
      </c>
      <c r="R322" s="297" t="s">
        <v>1838</v>
      </c>
      <c r="S322" s="297" t="s">
        <v>1839</v>
      </c>
      <c r="T322" s="298" t="s">
        <v>900</v>
      </c>
      <c r="U322" s="296" t="s">
        <v>1840</v>
      </c>
      <c r="V322" s="296" t="s">
        <v>2718</v>
      </c>
      <c r="W322" s="297" t="s">
        <v>2718</v>
      </c>
      <c r="X322" s="239" t="s">
        <v>3089</v>
      </c>
      <c r="Y322" s="239" t="s">
        <v>3126</v>
      </c>
      <c r="Z322" t="s">
        <v>3109</v>
      </c>
      <c r="AA322" s="299">
        <v>3174</v>
      </c>
    </row>
    <row r="323" spans="17:27" ht="13.8">
      <c r="Q323" s="296">
        <f t="shared" si="4"/>
        <v>317</v>
      </c>
      <c r="R323" s="297" t="s">
        <v>1841</v>
      </c>
      <c r="S323" s="297" t="s">
        <v>1842</v>
      </c>
      <c r="T323" s="298" t="s">
        <v>1160</v>
      </c>
      <c r="U323" s="296" t="s">
        <v>1843</v>
      </c>
      <c r="V323" s="296" t="s">
        <v>1842</v>
      </c>
      <c r="W323" s="297" t="s">
        <v>2950</v>
      </c>
      <c r="X323" s="239" t="s">
        <v>3088</v>
      </c>
      <c r="Y323" s="239" t="s">
        <v>3124</v>
      </c>
      <c r="Z323" t="s">
        <v>3106</v>
      </c>
      <c r="AA323" s="299">
        <v>37117</v>
      </c>
    </row>
    <row r="324" spans="17:27" ht="13.8">
      <c r="Q324" s="296">
        <f t="shared" si="4"/>
        <v>318</v>
      </c>
      <c r="R324" s="297" t="s">
        <v>1844</v>
      </c>
      <c r="S324" s="297" t="s">
        <v>1842</v>
      </c>
      <c r="T324" s="298" t="s">
        <v>1126</v>
      </c>
      <c r="U324" s="296" t="s">
        <v>1845</v>
      </c>
      <c r="V324" s="296" t="s">
        <v>1842</v>
      </c>
      <c r="W324" s="297" t="s">
        <v>2950</v>
      </c>
      <c r="X324" s="239" t="s">
        <v>3088</v>
      </c>
      <c r="Y324" s="239" t="s">
        <v>3124</v>
      </c>
      <c r="Z324" t="s">
        <v>3113</v>
      </c>
      <c r="AA324" s="299">
        <v>48594</v>
      </c>
    </row>
    <row r="325" spans="17:27" ht="13.8">
      <c r="Q325" s="296">
        <f t="shared" si="4"/>
        <v>319</v>
      </c>
      <c r="R325" s="297" t="s">
        <v>1846</v>
      </c>
      <c r="S325" s="297" t="s">
        <v>1847</v>
      </c>
      <c r="T325" s="298" t="s">
        <v>929</v>
      </c>
      <c r="U325" s="296" t="s">
        <v>1848</v>
      </c>
      <c r="V325" s="296" t="s">
        <v>1847</v>
      </c>
      <c r="W325" s="297" t="s">
        <v>2951</v>
      </c>
      <c r="X325" s="239" t="s">
        <v>3088</v>
      </c>
      <c r="Y325" s="239" t="s">
        <v>3125</v>
      </c>
      <c r="Z325" t="s">
        <v>3110</v>
      </c>
      <c r="AA325" s="299">
        <v>3792</v>
      </c>
    </row>
    <row r="326" spans="17:27" ht="13.8">
      <c r="Q326" s="296">
        <f t="shared" si="4"/>
        <v>320</v>
      </c>
      <c r="R326" s="297" t="s">
        <v>1849</v>
      </c>
      <c r="S326" s="297" t="s">
        <v>1850</v>
      </c>
      <c r="T326" s="298" t="s">
        <v>990</v>
      </c>
      <c r="U326" s="296" t="s">
        <v>1851</v>
      </c>
      <c r="V326" s="296" t="s">
        <v>1850</v>
      </c>
      <c r="W326" s="297" t="s">
        <v>2952</v>
      </c>
      <c r="X326" s="239" t="s">
        <v>3088</v>
      </c>
      <c r="Y326" s="239" t="s">
        <v>3124</v>
      </c>
      <c r="Z326" t="s">
        <v>3105</v>
      </c>
      <c r="AA326" s="299">
        <v>40921</v>
      </c>
    </row>
    <row r="327" spans="17:27" ht="13.8">
      <c r="Q327" s="296">
        <f t="shared" si="4"/>
        <v>321</v>
      </c>
      <c r="R327" s="297" t="s">
        <v>1852</v>
      </c>
      <c r="S327" s="297" t="s">
        <v>1853</v>
      </c>
      <c r="T327" s="298" t="s">
        <v>986</v>
      </c>
      <c r="U327" s="296" t="s">
        <v>1854</v>
      </c>
      <c r="V327" s="296" t="s">
        <v>1853</v>
      </c>
      <c r="W327" s="297" t="s">
        <v>2953</v>
      </c>
      <c r="X327" s="239" t="s">
        <v>3088</v>
      </c>
      <c r="Y327" s="239" t="s">
        <v>3125</v>
      </c>
      <c r="Z327" t="s">
        <v>3110</v>
      </c>
      <c r="AA327" s="299">
        <v>23690</v>
      </c>
    </row>
    <row r="328" spans="17:27" ht="13.8">
      <c r="Q328" s="296">
        <f t="shared" si="4"/>
        <v>322</v>
      </c>
      <c r="R328" s="297" t="s">
        <v>1855</v>
      </c>
      <c r="S328" s="297" t="s">
        <v>1856</v>
      </c>
      <c r="T328" s="298" t="s">
        <v>908</v>
      </c>
      <c r="U328" s="296" t="s">
        <v>1857</v>
      </c>
      <c r="V328" s="296" t="s">
        <v>2719</v>
      </c>
      <c r="W328" s="297" t="s">
        <v>2719</v>
      </c>
      <c r="X328" s="239" t="s">
        <v>3089</v>
      </c>
      <c r="Y328" s="239" t="s">
        <v>3124</v>
      </c>
      <c r="Z328" t="s">
        <v>3105</v>
      </c>
      <c r="AA328" s="299">
        <v>8436</v>
      </c>
    </row>
    <row r="329" spans="17:27" ht="13.8">
      <c r="Q329" s="296">
        <f t="shared" si="4"/>
        <v>323</v>
      </c>
      <c r="R329" s="297" t="s">
        <v>1858</v>
      </c>
      <c r="S329" s="297" t="s">
        <v>1859</v>
      </c>
      <c r="T329" s="298" t="s">
        <v>1048</v>
      </c>
      <c r="U329" s="296" t="s">
        <v>1860</v>
      </c>
      <c r="V329" s="296" t="s">
        <v>1859</v>
      </c>
      <c r="W329" s="297" t="s">
        <v>2954</v>
      </c>
      <c r="X329" s="239" t="s">
        <v>3088</v>
      </c>
      <c r="Y329" s="239" t="s">
        <v>3125</v>
      </c>
      <c r="Z329" t="s">
        <v>3110</v>
      </c>
      <c r="AA329" s="299">
        <v>22450</v>
      </c>
    </row>
    <row r="330" spans="17:27" ht="13.8">
      <c r="Q330" s="296">
        <f t="shared" si="4"/>
        <v>324</v>
      </c>
      <c r="R330" s="297" t="s">
        <v>1861</v>
      </c>
      <c r="S330" s="297" t="s">
        <v>1862</v>
      </c>
      <c r="T330" s="298" t="s">
        <v>908</v>
      </c>
      <c r="U330" s="296" t="s">
        <v>1863</v>
      </c>
      <c r="V330" s="296" t="s">
        <v>2720</v>
      </c>
      <c r="W330" s="297" t="s">
        <v>2720</v>
      </c>
      <c r="X330" s="239" t="s">
        <v>3089</v>
      </c>
      <c r="Y330" s="239" t="s">
        <v>3124</v>
      </c>
      <c r="Z330" t="s">
        <v>3105</v>
      </c>
      <c r="AA330" s="299">
        <v>3133</v>
      </c>
    </row>
    <row r="331" spans="17:27" ht="13.8">
      <c r="Q331" s="296">
        <f t="shared" ref="Q331:Q394" si="5">Q330+1</f>
        <v>325</v>
      </c>
      <c r="R331" s="297" t="s">
        <v>1864</v>
      </c>
      <c r="S331" s="297" t="s">
        <v>1865</v>
      </c>
      <c r="T331" s="298" t="s">
        <v>969</v>
      </c>
      <c r="U331" s="296" t="s">
        <v>1866</v>
      </c>
      <c r="V331" s="296" t="s">
        <v>1865</v>
      </c>
      <c r="W331" s="297" t="s">
        <v>2955</v>
      </c>
      <c r="X331" s="239" t="s">
        <v>3088</v>
      </c>
      <c r="Y331" s="239" t="s">
        <v>3124</v>
      </c>
      <c r="Z331" t="s">
        <v>3111</v>
      </c>
      <c r="AA331" s="299">
        <v>21355</v>
      </c>
    </row>
    <row r="332" spans="17:27" ht="13.8">
      <c r="Q332" s="296">
        <f t="shared" si="5"/>
        <v>326</v>
      </c>
      <c r="R332" s="297" t="s">
        <v>1867</v>
      </c>
      <c r="S332" s="297" t="s">
        <v>1868</v>
      </c>
      <c r="T332" s="298" t="s">
        <v>1048</v>
      </c>
      <c r="U332" s="296" t="s">
        <v>1869</v>
      </c>
      <c r="V332" s="296" t="s">
        <v>2721</v>
      </c>
      <c r="W332" s="297" t="s">
        <v>2721</v>
      </c>
      <c r="X332" s="239" t="s">
        <v>3089</v>
      </c>
      <c r="Y332" s="239" t="s">
        <v>3124</v>
      </c>
      <c r="Z332" t="s">
        <v>3105</v>
      </c>
      <c r="AA332" s="299">
        <v>6153</v>
      </c>
    </row>
    <row r="333" spans="17:27" ht="13.8">
      <c r="Q333" s="296">
        <f t="shared" si="5"/>
        <v>327</v>
      </c>
      <c r="R333" s="297" t="s">
        <v>1870</v>
      </c>
      <c r="S333" s="297" t="s">
        <v>1871</v>
      </c>
      <c r="T333" s="298" t="s">
        <v>1048</v>
      </c>
      <c r="U333" s="296" t="s">
        <v>1872</v>
      </c>
      <c r="V333" s="296" t="s">
        <v>1871</v>
      </c>
      <c r="W333" s="297" t="s">
        <v>1048</v>
      </c>
      <c r="X333" s="239" t="s">
        <v>3088</v>
      </c>
      <c r="Y333" s="239" t="s">
        <v>3125</v>
      </c>
      <c r="Z333" t="s">
        <v>3110</v>
      </c>
      <c r="AA333" s="299">
        <v>22974</v>
      </c>
    </row>
    <row r="334" spans="17:27" ht="13.8">
      <c r="Q334" s="296">
        <f t="shared" si="5"/>
        <v>328</v>
      </c>
      <c r="R334" s="297" t="s">
        <v>1873</v>
      </c>
      <c r="S334" s="297" t="s">
        <v>1874</v>
      </c>
      <c r="T334" s="298" t="s">
        <v>1048</v>
      </c>
      <c r="U334" s="296" t="s">
        <v>1875</v>
      </c>
      <c r="V334" s="296" t="s">
        <v>3077</v>
      </c>
      <c r="W334" s="297" t="s">
        <v>3077</v>
      </c>
      <c r="X334" s="239" t="s">
        <v>2583</v>
      </c>
      <c r="Y334" s="239" t="s">
        <v>3124</v>
      </c>
      <c r="Z334" t="s">
        <v>3106</v>
      </c>
      <c r="AA334" s="299">
        <v>20180</v>
      </c>
    </row>
    <row r="335" spans="17:27" ht="13.8">
      <c r="Q335" s="296">
        <f t="shared" si="5"/>
        <v>329</v>
      </c>
      <c r="R335" s="297" t="s">
        <v>1876</v>
      </c>
      <c r="S335" s="297" t="s">
        <v>1877</v>
      </c>
      <c r="T335" s="298" t="s">
        <v>1048</v>
      </c>
      <c r="U335" s="296" t="s">
        <v>1878</v>
      </c>
      <c r="V335" s="296" t="s">
        <v>2722</v>
      </c>
      <c r="W335" s="297" t="s">
        <v>2722</v>
      </c>
      <c r="X335" s="239" t="s">
        <v>3089</v>
      </c>
      <c r="Y335" s="239" t="s">
        <v>3124</v>
      </c>
      <c r="Z335" t="s">
        <v>3114</v>
      </c>
      <c r="AA335" s="299">
        <v>5909</v>
      </c>
    </row>
    <row r="336" spans="17:27" ht="13.8">
      <c r="Q336" s="296">
        <f t="shared" si="5"/>
        <v>330</v>
      </c>
      <c r="R336" s="297" t="s">
        <v>1879</v>
      </c>
      <c r="S336" s="298" t="s">
        <v>1880</v>
      </c>
      <c r="T336" s="298" t="s">
        <v>945</v>
      </c>
      <c r="U336" s="296" t="s">
        <v>1881</v>
      </c>
      <c r="V336" s="296" t="s">
        <v>2723</v>
      </c>
      <c r="W336" s="298" t="s">
        <v>2723</v>
      </c>
      <c r="X336" s="239" t="s">
        <v>3089</v>
      </c>
      <c r="Y336" s="239" t="s">
        <v>3126</v>
      </c>
      <c r="Z336" t="s">
        <v>3109</v>
      </c>
      <c r="AA336" s="299">
        <v>4651</v>
      </c>
    </row>
    <row r="337" spans="17:27" ht="13.8">
      <c r="Q337" s="296">
        <f t="shared" si="5"/>
        <v>331</v>
      </c>
      <c r="R337" s="297" t="s">
        <v>1882</v>
      </c>
      <c r="S337" s="297" t="s">
        <v>1883</v>
      </c>
      <c r="T337" s="298" t="s">
        <v>969</v>
      </c>
      <c r="U337" s="296" t="s">
        <v>1884</v>
      </c>
      <c r="V337" s="296" t="s">
        <v>1883</v>
      </c>
      <c r="W337" s="297" t="s">
        <v>2956</v>
      </c>
      <c r="X337" s="239" t="s">
        <v>3088</v>
      </c>
      <c r="Y337" s="239" t="s">
        <v>3124</v>
      </c>
      <c r="Z337" t="s">
        <v>3111</v>
      </c>
      <c r="AA337" s="299">
        <v>9981</v>
      </c>
    </row>
    <row r="338" spans="17:27" ht="13.8">
      <c r="Q338" s="296">
        <f t="shared" si="5"/>
        <v>332</v>
      </c>
      <c r="R338" s="297" t="s">
        <v>1885</v>
      </c>
      <c r="S338" s="297" t="s">
        <v>1886</v>
      </c>
      <c r="T338" s="298" t="s">
        <v>969</v>
      </c>
      <c r="U338" s="296" t="s">
        <v>1887</v>
      </c>
      <c r="V338" s="296" t="s">
        <v>1886</v>
      </c>
      <c r="W338" s="297" t="s">
        <v>2957</v>
      </c>
      <c r="X338" s="239" t="s">
        <v>3088</v>
      </c>
      <c r="Y338" s="239" t="s">
        <v>3124</v>
      </c>
      <c r="Z338" t="s">
        <v>3111</v>
      </c>
      <c r="AA338" s="299">
        <v>44633</v>
      </c>
    </row>
    <row r="339" spans="17:27" ht="13.8">
      <c r="Q339" s="296">
        <f t="shared" si="5"/>
        <v>333</v>
      </c>
      <c r="R339" s="297" t="s">
        <v>1888</v>
      </c>
      <c r="S339" s="297" t="s">
        <v>1889</v>
      </c>
      <c r="T339" s="298" t="s">
        <v>1048</v>
      </c>
      <c r="U339" s="296" t="s">
        <v>1890</v>
      </c>
      <c r="V339" s="296" t="s">
        <v>1889</v>
      </c>
      <c r="W339" s="297" t="s">
        <v>2958</v>
      </c>
      <c r="X339" s="239" t="s">
        <v>3088</v>
      </c>
      <c r="Y339" s="239" t="s">
        <v>3124</v>
      </c>
      <c r="Z339" t="s">
        <v>3105</v>
      </c>
      <c r="AA339" s="299">
        <v>28886</v>
      </c>
    </row>
    <row r="340" spans="17:27" ht="13.8">
      <c r="Q340" s="296">
        <f t="shared" si="5"/>
        <v>334</v>
      </c>
      <c r="R340" s="297" t="s">
        <v>1891</v>
      </c>
      <c r="S340" s="297" t="s">
        <v>1892</v>
      </c>
      <c r="T340" s="298" t="s">
        <v>1048</v>
      </c>
      <c r="U340" s="296" t="s">
        <v>1893</v>
      </c>
      <c r="V340" s="296" t="s">
        <v>2724</v>
      </c>
      <c r="W340" s="297" t="s">
        <v>2724</v>
      </c>
      <c r="X340" s="239" t="s">
        <v>3089</v>
      </c>
      <c r="Y340" s="239" t="s">
        <v>3124</v>
      </c>
      <c r="Z340" t="s">
        <v>3106</v>
      </c>
      <c r="AA340" s="299">
        <v>4472</v>
      </c>
    </row>
    <row r="341" spans="17:27" ht="13.8">
      <c r="Q341" s="296">
        <f t="shared" si="5"/>
        <v>335</v>
      </c>
      <c r="R341" s="297" t="s">
        <v>1894</v>
      </c>
      <c r="S341" s="297" t="s">
        <v>1895</v>
      </c>
      <c r="T341" s="298" t="s">
        <v>1006</v>
      </c>
      <c r="U341" s="296" t="s">
        <v>1896</v>
      </c>
      <c r="V341" s="296" t="s">
        <v>2725</v>
      </c>
      <c r="W341" s="297" t="s">
        <v>2725</v>
      </c>
      <c r="X341" s="239" t="s">
        <v>3089</v>
      </c>
      <c r="Y341" s="239" t="s">
        <v>3124</v>
      </c>
      <c r="Z341" t="s">
        <v>3105</v>
      </c>
      <c r="AA341" s="299">
        <v>7020</v>
      </c>
    </row>
    <row r="342" spans="17:27" ht="13.8">
      <c r="Q342" s="296">
        <f t="shared" si="5"/>
        <v>336</v>
      </c>
      <c r="R342" s="297" t="s">
        <v>1897</v>
      </c>
      <c r="S342" s="298" t="s">
        <v>1898</v>
      </c>
      <c r="T342" s="298" t="s">
        <v>904</v>
      </c>
      <c r="U342" s="296" t="s">
        <v>1899</v>
      </c>
      <c r="V342" s="296" t="s">
        <v>1898</v>
      </c>
      <c r="W342" s="298" t="s">
        <v>2959</v>
      </c>
      <c r="X342" s="239" t="s">
        <v>3088</v>
      </c>
      <c r="Y342" s="239" t="s">
        <v>3125</v>
      </c>
      <c r="Z342" t="s">
        <v>3110</v>
      </c>
      <c r="AA342" s="299">
        <v>5816</v>
      </c>
    </row>
    <row r="343" spans="17:27" ht="13.8">
      <c r="Q343" s="296">
        <f t="shared" si="5"/>
        <v>337</v>
      </c>
      <c r="R343" s="297" t="s">
        <v>1900</v>
      </c>
      <c r="S343" s="297" t="s">
        <v>1901</v>
      </c>
      <c r="T343" s="298" t="s">
        <v>1160</v>
      </c>
      <c r="U343" s="296" t="s">
        <v>1902</v>
      </c>
      <c r="V343" s="296" t="s">
        <v>2726</v>
      </c>
      <c r="W343" s="297" t="s">
        <v>2726</v>
      </c>
      <c r="X343" s="239" t="s">
        <v>3089</v>
      </c>
      <c r="Y343" s="239" t="s">
        <v>3124</v>
      </c>
      <c r="Z343" t="s">
        <v>3105</v>
      </c>
      <c r="AA343" s="299">
        <v>3026</v>
      </c>
    </row>
    <row r="344" spans="17:27" ht="13.8">
      <c r="Q344" s="296">
        <f t="shared" si="5"/>
        <v>338</v>
      </c>
      <c r="R344" s="297" t="s">
        <v>1903</v>
      </c>
      <c r="S344" s="297" t="s">
        <v>1904</v>
      </c>
      <c r="T344" s="298" t="s">
        <v>900</v>
      </c>
      <c r="U344" s="296" t="s">
        <v>1905</v>
      </c>
      <c r="V344" s="296" t="s">
        <v>2727</v>
      </c>
      <c r="W344" s="297" t="s">
        <v>2960</v>
      </c>
      <c r="X344" s="239" t="s">
        <v>3089</v>
      </c>
      <c r="Y344" s="239" t="s">
        <v>3124</v>
      </c>
      <c r="Z344" t="s">
        <v>3105</v>
      </c>
      <c r="AA344" s="299">
        <v>4626</v>
      </c>
    </row>
    <row r="345" spans="17:27" ht="13.8">
      <c r="Q345" s="296">
        <f t="shared" si="5"/>
        <v>339</v>
      </c>
      <c r="R345" s="297" t="s">
        <v>1906</v>
      </c>
      <c r="S345" s="297" t="s">
        <v>1907</v>
      </c>
      <c r="T345" s="298" t="s">
        <v>900</v>
      </c>
      <c r="U345" s="296" t="s">
        <v>1908</v>
      </c>
      <c r="V345" s="296" t="s">
        <v>1907</v>
      </c>
      <c r="W345" s="297" t="s">
        <v>2960</v>
      </c>
      <c r="X345" s="239" t="s">
        <v>3088</v>
      </c>
      <c r="Y345" s="239" t="s">
        <v>3125</v>
      </c>
      <c r="Z345" t="s">
        <v>3110</v>
      </c>
      <c r="AA345" s="299">
        <v>28061</v>
      </c>
    </row>
    <row r="346" spans="17:27" ht="13.8">
      <c r="Q346" s="296">
        <f t="shared" si="5"/>
        <v>340</v>
      </c>
      <c r="R346" s="297" t="s">
        <v>1909</v>
      </c>
      <c r="S346" s="297" t="s">
        <v>1910</v>
      </c>
      <c r="T346" s="298" t="s">
        <v>1048</v>
      </c>
      <c r="U346" s="296" t="s">
        <v>1911</v>
      </c>
      <c r="V346" s="296" t="s">
        <v>2728</v>
      </c>
      <c r="W346" s="297" t="s">
        <v>2728</v>
      </c>
      <c r="X346" s="239" t="s">
        <v>3089</v>
      </c>
      <c r="Y346" s="239" t="s">
        <v>3124</v>
      </c>
      <c r="Z346" t="s">
        <v>3105</v>
      </c>
      <c r="AA346" s="299">
        <v>3375</v>
      </c>
    </row>
    <row r="347" spans="17:27" ht="13.8">
      <c r="Q347" s="296">
        <f t="shared" si="5"/>
        <v>341</v>
      </c>
      <c r="R347" s="297" t="s">
        <v>1912</v>
      </c>
      <c r="S347" s="298" t="s">
        <v>1913</v>
      </c>
      <c r="T347" s="298" t="s">
        <v>1126</v>
      </c>
      <c r="U347" s="296" t="s">
        <v>1914</v>
      </c>
      <c r="V347" s="296" t="s">
        <v>3052</v>
      </c>
      <c r="W347" s="298" t="s">
        <v>3052</v>
      </c>
      <c r="X347" s="239" t="s">
        <v>3090</v>
      </c>
      <c r="Y347" s="239" t="s">
        <v>3124</v>
      </c>
      <c r="Z347" t="s">
        <v>3113</v>
      </c>
      <c r="AA347" s="299">
        <v>55266</v>
      </c>
    </row>
    <row r="348" spans="17:27" ht="13.8">
      <c r="Q348" s="296">
        <f t="shared" si="5"/>
        <v>342</v>
      </c>
      <c r="R348" s="297" t="s">
        <v>1915</v>
      </c>
      <c r="S348" s="297" t="s">
        <v>1916</v>
      </c>
      <c r="T348" s="298" t="s">
        <v>969</v>
      </c>
      <c r="U348" s="296" t="s">
        <v>1917</v>
      </c>
      <c r="V348" s="296" t="s">
        <v>1916</v>
      </c>
      <c r="W348" s="297" t="s">
        <v>2961</v>
      </c>
      <c r="X348" s="239" t="s">
        <v>3088</v>
      </c>
      <c r="Y348" s="239" t="s">
        <v>3125</v>
      </c>
      <c r="Z348" t="s">
        <v>3110</v>
      </c>
      <c r="AA348" s="299">
        <v>6367</v>
      </c>
    </row>
    <row r="349" spans="17:27" ht="13.8">
      <c r="Q349" s="296">
        <f t="shared" si="5"/>
        <v>343</v>
      </c>
      <c r="R349" s="297" t="s">
        <v>1918</v>
      </c>
      <c r="S349" s="297" t="s">
        <v>1919</v>
      </c>
      <c r="T349" s="298" t="s">
        <v>908</v>
      </c>
      <c r="U349" s="296" t="s">
        <v>1920</v>
      </c>
      <c r="V349" s="296" t="s">
        <v>2729</v>
      </c>
      <c r="W349" s="297" t="s">
        <v>2729</v>
      </c>
      <c r="X349" s="239" t="s">
        <v>3089</v>
      </c>
      <c r="Y349" s="239" t="s">
        <v>3124</v>
      </c>
      <c r="Z349" t="s">
        <v>3105</v>
      </c>
      <c r="AA349" s="299">
        <v>16923</v>
      </c>
    </row>
    <row r="350" spans="17:27" ht="13.8">
      <c r="Q350" s="296">
        <f t="shared" si="5"/>
        <v>344</v>
      </c>
      <c r="R350" s="297" t="s">
        <v>1921</v>
      </c>
      <c r="S350" s="297" t="s">
        <v>1922</v>
      </c>
      <c r="T350" s="298" t="s">
        <v>1006</v>
      </c>
      <c r="U350" s="296" t="s">
        <v>1923</v>
      </c>
      <c r="V350" s="296" t="s">
        <v>2730</v>
      </c>
      <c r="W350" s="297" t="s">
        <v>2730</v>
      </c>
      <c r="X350" s="239" t="s">
        <v>3089</v>
      </c>
      <c r="Y350" s="239" t="s">
        <v>3124</v>
      </c>
      <c r="Z350" t="s">
        <v>3105</v>
      </c>
      <c r="AA350" s="299">
        <v>13650</v>
      </c>
    </row>
    <row r="351" spans="17:27" ht="13.8">
      <c r="Q351" s="296">
        <f t="shared" si="5"/>
        <v>345</v>
      </c>
      <c r="R351" s="297" t="s">
        <v>1924</v>
      </c>
      <c r="S351" s="297" t="s">
        <v>1925</v>
      </c>
      <c r="T351" s="298" t="s">
        <v>990</v>
      </c>
      <c r="U351" s="296" t="s">
        <v>1926</v>
      </c>
      <c r="V351" s="296" t="s">
        <v>3053</v>
      </c>
      <c r="W351" s="297" t="s">
        <v>3053</v>
      </c>
      <c r="X351" s="239" t="s">
        <v>3090</v>
      </c>
      <c r="Y351" s="239" t="s">
        <v>3124</v>
      </c>
      <c r="Z351" t="s">
        <v>3112</v>
      </c>
      <c r="AA351" s="299">
        <v>311549</v>
      </c>
    </row>
    <row r="352" spans="17:27" ht="13.8">
      <c r="Q352" s="296">
        <f t="shared" si="5"/>
        <v>346</v>
      </c>
      <c r="R352" s="297" t="s">
        <v>1927</v>
      </c>
      <c r="S352" s="297" t="s">
        <v>1928</v>
      </c>
      <c r="T352" s="298" t="s">
        <v>1160</v>
      </c>
      <c r="U352" s="296" t="s">
        <v>1929</v>
      </c>
      <c r="V352" s="296" t="s">
        <v>2731</v>
      </c>
      <c r="W352" s="297" t="s">
        <v>2731</v>
      </c>
      <c r="X352" s="239" t="s">
        <v>3089</v>
      </c>
      <c r="Y352" s="239" t="s">
        <v>3124</v>
      </c>
      <c r="Z352" t="s">
        <v>3105</v>
      </c>
      <c r="AA352" s="299">
        <v>1774</v>
      </c>
    </row>
    <row r="353" spans="17:27" ht="13.8">
      <c r="Q353" s="296">
        <f t="shared" si="5"/>
        <v>347</v>
      </c>
      <c r="R353" s="297" t="s">
        <v>1930</v>
      </c>
      <c r="S353" s="297" t="s">
        <v>1931</v>
      </c>
      <c r="T353" s="298" t="s">
        <v>929</v>
      </c>
      <c r="U353" s="296" t="s">
        <v>1932</v>
      </c>
      <c r="V353" s="296" t="s">
        <v>3078</v>
      </c>
      <c r="W353" s="297" t="s">
        <v>3078</v>
      </c>
      <c r="X353" s="239" t="s">
        <v>2583</v>
      </c>
      <c r="Y353" s="239" t="s">
        <v>3124</v>
      </c>
      <c r="Z353" t="s">
        <v>3111</v>
      </c>
      <c r="AA353" s="299">
        <v>8374</v>
      </c>
    </row>
    <row r="354" spans="17:27" ht="13.8">
      <c r="Q354" s="296">
        <f t="shared" si="5"/>
        <v>348</v>
      </c>
      <c r="R354" s="297" t="s">
        <v>1933</v>
      </c>
      <c r="S354" s="297" t="s">
        <v>1934</v>
      </c>
      <c r="T354" s="298" t="s">
        <v>908</v>
      </c>
      <c r="U354" s="296" t="s">
        <v>1935</v>
      </c>
      <c r="V354" s="296" t="s">
        <v>2732</v>
      </c>
      <c r="W354" s="297" t="s">
        <v>2732</v>
      </c>
      <c r="X354" s="239" t="s">
        <v>3089</v>
      </c>
      <c r="Y354" s="239" t="s">
        <v>3124</v>
      </c>
      <c r="Z354" t="s">
        <v>3105</v>
      </c>
      <c r="AA354" s="299">
        <v>16457</v>
      </c>
    </row>
    <row r="355" spans="17:27" ht="13.8">
      <c r="Q355" s="296">
        <f t="shared" si="5"/>
        <v>349</v>
      </c>
      <c r="R355" s="297" t="s">
        <v>1936</v>
      </c>
      <c r="S355" s="297" t="s">
        <v>1937</v>
      </c>
      <c r="T355" s="298" t="s">
        <v>976</v>
      </c>
      <c r="U355" s="296" t="s">
        <v>1938</v>
      </c>
      <c r="V355" s="296" t="s">
        <v>1937</v>
      </c>
      <c r="W355" s="297" t="s">
        <v>2962</v>
      </c>
      <c r="X355" s="239" t="s">
        <v>3088</v>
      </c>
      <c r="Y355" s="239" t="s">
        <v>3126</v>
      </c>
      <c r="Z355" t="s">
        <v>3120</v>
      </c>
      <c r="AA355" s="299">
        <v>63361</v>
      </c>
    </row>
    <row r="356" spans="17:27" ht="13.8">
      <c r="Q356" s="296">
        <f t="shared" si="5"/>
        <v>350</v>
      </c>
      <c r="R356" s="297" t="s">
        <v>1939</v>
      </c>
      <c r="S356" s="297" t="s">
        <v>1940</v>
      </c>
      <c r="T356" s="298" t="s">
        <v>1126</v>
      </c>
      <c r="U356" s="296" t="s">
        <v>1941</v>
      </c>
      <c r="V356" s="296" t="s">
        <v>1940</v>
      </c>
      <c r="W356" s="297" t="s">
        <v>2963</v>
      </c>
      <c r="X356" s="239" t="s">
        <v>3088</v>
      </c>
      <c r="Y356" s="239" t="s">
        <v>3124</v>
      </c>
      <c r="Z356" t="s">
        <v>3105</v>
      </c>
      <c r="AA356" s="299">
        <v>43905</v>
      </c>
    </row>
    <row r="357" spans="17:27" ht="13.8">
      <c r="Q357" s="296">
        <f t="shared" si="5"/>
        <v>351</v>
      </c>
      <c r="R357" s="297" t="s">
        <v>1942</v>
      </c>
      <c r="S357" s="297" t="s">
        <v>1943</v>
      </c>
      <c r="T357" s="298" t="s">
        <v>990</v>
      </c>
      <c r="U357" s="296" t="s">
        <v>1944</v>
      </c>
      <c r="V357" s="296" t="s">
        <v>2733</v>
      </c>
      <c r="W357" s="297" t="s">
        <v>2733</v>
      </c>
      <c r="X357" s="239" t="s">
        <v>3089</v>
      </c>
      <c r="Y357" s="239" t="s">
        <v>3126</v>
      </c>
      <c r="Z357" t="s">
        <v>3120</v>
      </c>
      <c r="AA357" s="299">
        <v>6694</v>
      </c>
    </row>
    <row r="358" spans="17:27" ht="13.8">
      <c r="Q358" s="296">
        <f t="shared" si="5"/>
        <v>352</v>
      </c>
      <c r="R358" s="297" t="s">
        <v>1945</v>
      </c>
      <c r="S358" s="297" t="s">
        <v>1946</v>
      </c>
      <c r="T358" s="298" t="s">
        <v>1038</v>
      </c>
      <c r="U358" s="296" t="s">
        <v>1947</v>
      </c>
      <c r="V358" s="296" t="s">
        <v>2734</v>
      </c>
      <c r="W358" s="297" t="s">
        <v>2734</v>
      </c>
      <c r="X358" s="239" t="s">
        <v>3089</v>
      </c>
      <c r="Y358" s="239" t="s">
        <v>3124</v>
      </c>
      <c r="Z358" t="s">
        <v>3105</v>
      </c>
      <c r="AA358" s="299">
        <v>8927</v>
      </c>
    </row>
    <row r="359" spans="17:27" ht="13.8">
      <c r="Q359" s="296">
        <f t="shared" si="5"/>
        <v>353</v>
      </c>
      <c r="R359" s="297" t="s">
        <v>1948</v>
      </c>
      <c r="S359" s="297" t="s">
        <v>1949</v>
      </c>
      <c r="T359" s="298" t="s">
        <v>969</v>
      </c>
      <c r="U359" s="296" t="s">
        <v>1950</v>
      </c>
      <c r="V359" s="296" t="s">
        <v>1949</v>
      </c>
      <c r="W359" s="297" t="s">
        <v>2964</v>
      </c>
      <c r="X359" s="239" t="s">
        <v>3088</v>
      </c>
      <c r="Y359" s="239" t="s">
        <v>3125</v>
      </c>
      <c r="Z359" t="s">
        <v>3110</v>
      </c>
      <c r="AA359" s="299">
        <v>7963</v>
      </c>
    </row>
    <row r="360" spans="17:27" ht="13.8">
      <c r="Q360" s="296">
        <f t="shared" si="5"/>
        <v>354</v>
      </c>
      <c r="R360" s="297" t="s">
        <v>1951</v>
      </c>
      <c r="S360" s="297" t="s">
        <v>1952</v>
      </c>
      <c r="T360" s="298" t="s">
        <v>986</v>
      </c>
      <c r="U360" s="296" t="s">
        <v>1953</v>
      </c>
      <c r="V360" s="296" t="s">
        <v>2735</v>
      </c>
      <c r="W360" s="297" t="s">
        <v>2735</v>
      </c>
      <c r="X360" s="239" t="s">
        <v>3089</v>
      </c>
      <c r="Y360" s="239" t="s">
        <v>3124</v>
      </c>
      <c r="Z360" t="s">
        <v>3106</v>
      </c>
      <c r="AA360" s="299">
        <v>22808</v>
      </c>
    </row>
    <row r="361" spans="17:27" ht="13.8">
      <c r="Q361" s="296">
        <f t="shared" si="5"/>
        <v>355</v>
      </c>
      <c r="R361" s="297" t="s">
        <v>1954</v>
      </c>
      <c r="S361" s="297" t="s">
        <v>1955</v>
      </c>
      <c r="T361" s="298" t="s">
        <v>952</v>
      </c>
      <c r="U361" s="296" t="s">
        <v>1956</v>
      </c>
      <c r="V361" s="296" t="s">
        <v>3054</v>
      </c>
      <c r="W361" s="297" t="s">
        <v>3054</v>
      </c>
      <c r="X361" s="239" t="s">
        <v>3090</v>
      </c>
      <c r="Y361" s="239" t="s">
        <v>3124</v>
      </c>
      <c r="Z361" t="s">
        <v>3106</v>
      </c>
      <c r="AA361" s="299">
        <v>3621</v>
      </c>
    </row>
    <row r="362" spans="17:27" ht="13.8">
      <c r="Q362" s="296">
        <f t="shared" si="5"/>
        <v>356</v>
      </c>
      <c r="R362" s="297" t="s">
        <v>1957</v>
      </c>
      <c r="S362" s="297" t="s">
        <v>1958</v>
      </c>
      <c r="T362" s="298" t="s">
        <v>904</v>
      </c>
      <c r="U362" s="296" t="s">
        <v>1959</v>
      </c>
      <c r="V362" s="296" t="s">
        <v>3055</v>
      </c>
      <c r="W362" s="297" t="s">
        <v>3055</v>
      </c>
      <c r="X362" s="239" t="s">
        <v>3090</v>
      </c>
      <c r="Y362" s="239" t="s">
        <v>3124</v>
      </c>
      <c r="Z362" t="s">
        <v>3106</v>
      </c>
      <c r="AA362" s="299">
        <v>8434</v>
      </c>
    </row>
    <row r="363" spans="17:27" ht="13.8">
      <c r="Q363" s="296">
        <f t="shared" si="5"/>
        <v>357</v>
      </c>
      <c r="R363" s="297" t="s">
        <v>1960</v>
      </c>
      <c r="S363" s="297" t="s">
        <v>1961</v>
      </c>
      <c r="T363" s="298" t="s">
        <v>908</v>
      </c>
      <c r="U363" s="296" t="s">
        <v>1962</v>
      </c>
      <c r="V363" s="296" t="s">
        <v>2736</v>
      </c>
      <c r="W363" s="297" t="s">
        <v>2736</v>
      </c>
      <c r="X363" s="239" t="s">
        <v>3089</v>
      </c>
      <c r="Y363" s="239" t="s">
        <v>3124</v>
      </c>
      <c r="Z363" t="s">
        <v>3105</v>
      </c>
      <c r="AA363" s="299">
        <v>4761</v>
      </c>
    </row>
    <row r="364" spans="17:27" ht="13.8">
      <c r="Q364" s="296">
        <f t="shared" si="5"/>
        <v>358</v>
      </c>
      <c r="R364" s="297" t="s">
        <v>1963</v>
      </c>
      <c r="S364" s="297" t="s">
        <v>1964</v>
      </c>
      <c r="T364" s="298" t="s">
        <v>908</v>
      </c>
      <c r="U364" s="296" t="s">
        <v>1965</v>
      </c>
      <c r="V364" s="296" t="s">
        <v>2737</v>
      </c>
      <c r="W364" s="297" t="s">
        <v>2737</v>
      </c>
      <c r="X364" s="239" t="s">
        <v>3089</v>
      </c>
      <c r="Y364" s="239" t="s">
        <v>3124</v>
      </c>
      <c r="Z364" t="s">
        <v>3105</v>
      </c>
      <c r="AA364" s="299">
        <v>5641</v>
      </c>
    </row>
    <row r="365" spans="17:27" ht="13.8">
      <c r="Q365" s="296">
        <f t="shared" si="5"/>
        <v>359</v>
      </c>
      <c r="R365" s="297" t="s">
        <v>1966</v>
      </c>
      <c r="S365" s="297" t="s">
        <v>1967</v>
      </c>
      <c r="T365" s="298" t="s">
        <v>990</v>
      </c>
      <c r="U365" s="296" t="s">
        <v>1968</v>
      </c>
      <c r="V365" s="296" t="s">
        <v>1967</v>
      </c>
      <c r="W365" s="297" t="s">
        <v>2965</v>
      </c>
      <c r="X365" s="239" t="s">
        <v>3088</v>
      </c>
      <c r="Y365" s="239" t="s">
        <v>3124</v>
      </c>
      <c r="Z365" t="s">
        <v>3105</v>
      </c>
      <c r="AA365" s="299">
        <v>30143</v>
      </c>
    </row>
    <row r="366" spans="17:27" ht="13.8">
      <c r="Q366" s="296">
        <f t="shared" si="5"/>
        <v>360</v>
      </c>
      <c r="R366" s="297" t="s">
        <v>1969</v>
      </c>
      <c r="S366" s="297" t="s">
        <v>1970</v>
      </c>
      <c r="T366" s="298" t="s">
        <v>908</v>
      </c>
      <c r="U366" s="296" t="s">
        <v>1971</v>
      </c>
      <c r="V366" s="296" t="s">
        <v>2738</v>
      </c>
      <c r="W366" s="297" t="s">
        <v>2738</v>
      </c>
      <c r="X366" s="239" t="s">
        <v>3089</v>
      </c>
      <c r="Y366" s="239" t="s">
        <v>3124</v>
      </c>
      <c r="Z366" t="s">
        <v>3105</v>
      </c>
      <c r="AA366" s="299">
        <v>12748</v>
      </c>
    </row>
    <row r="367" spans="17:27" ht="13.8">
      <c r="Q367" s="296">
        <f t="shared" si="5"/>
        <v>361</v>
      </c>
      <c r="R367" s="297" t="s">
        <v>1972</v>
      </c>
      <c r="S367" s="297" t="s">
        <v>1973</v>
      </c>
      <c r="T367" s="298" t="s">
        <v>945</v>
      </c>
      <c r="U367" s="296" t="s">
        <v>1974</v>
      </c>
      <c r="V367" s="296" t="s">
        <v>2739</v>
      </c>
      <c r="W367" s="297" t="s">
        <v>2739</v>
      </c>
      <c r="X367" s="239" t="s">
        <v>3089</v>
      </c>
      <c r="Y367" s="239" t="s">
        <v>3124</v>
      </c>
      <c r="Z367" t="s">
        <v>3105</v>
      </c>
      <c r="AA367" s="299">
        <v>3930</v>
      </c>
    </row>
    <row r="368" spans="17:27" ht="13.8">
      <c r="Q368" s="296">
        <f t="shared" si="5"/>
        <v>362</v>
      </c>
      <c r="R368" s="297" t="s">
        <v>1975</v>
      </c>
      <c r="S368" s="297" t="s">
        <v>1976</v>
      </c>
      <c r="T368" s="298" t="s">
        <v>952</v>
      </c>
      <c r="U368" s="296" t="s">
        <v>1977</v>
      </c>
      <c r="V368" s="296" t="s">
        <v>3086</v>
      </c>
      <c r="W368" s="297" t="s">
        <v>3086</v>
      </c>
      <c r="X368" s="239" t="s">
        <v>3090</v>
      </c>
      <c r="Y368" s="239" t="s">
        <v>3124</v>
      </c>
      <c r="Z368" t="s">
        <v>3106</v>
      </c>
      <c r="AA368" s="299">
        <v>11229</v>
      </c>
    </row>
    <row r="369" spans="17:27" ht="13.8">
      <c r="Q369" s="296">
        <f t="shared" si="5"/>
        <v>363</v>
      </c>
      <c r="R369" s="297" t="s">
        <v>1978</v>
      </c>
      <c r="S369" s="297" t="s">
        <v>1979</v>
      </c>
      <c r="T369" s="298" t="s">
        <v>959</v>
      </c>
      <c r="U369" s="296" t="s">
        <v>1980</v>
      </c>
      <c r="V369" s="296" t="s">
        <v>2740</v>
      </c>
      <c r="W369" s="297" t="s">
        <v>2740</v>
      </c>
      <c r="X369" s="239" t="s">
        <v>3089</v>
      </c>
      <c r="Y369" s="239" t="s">
        <v>3124</v>
      </c>
      <c r="Z369" t="s">
        <v>3105</v>
      </c>
      <c r="AA369" s="299">
        <v>1932</v>
      </c>
    </row>
    <row r="370" spans="17:27" ht="13.8">
      <c r="Q370" s="296">
        <f t="shared" si="5"/>
        <v>364</v>
      </c>
      <c r="R370" s="297" t="s">
        <v>1981</v>
      </c>
      <c r="S370" s="297" t="s">
        <v>1982</v>
      </c>
      <c r="T370" s="298" t="s">
        <v>900</v>
      </c>
      <c r="U370" s="296" t="s">
        <v>1983</v>
      </c>
      <c r="V370" s="296" t="s">
        <v>1982</v>
      </c>
      <c r="W370" s="297" t="s">
        <v>959</v>
      </c>
      <c r="X370" s="239" t="s">
        <v>3088</v>
      </c>
      <c r="Y370" s="239" t="s">
        <v>3124</v>
      </c>
      <c r="Z370" t="s">
        <v>3105</v>
      </c>
      <c r="AA370" s="299">
        <v>27672</v>
      </c>
    </row>
    <row r="371" spans="17:27" ht="13.8">
      <c r="Q371" s="296">
        <f t="shared" si="5"/>
        <v>365</v>
      </c>
      <c r="R371" s="297" t="s">
        <v>1984</v>
      </c>
      <c r="S371" s="297" t="s">
        <v>1982</v>
      </c>
      <c r="T371" s="298" t="s">
        <v>959</v>
      </c>
      <c r="U371" s="296" t="s">
        <v>1985</v>
      </c>
      <c r="V371" s="296" t="s">
        <v>1982</v>
      </c>
      <c r="W371" s="297" t="s">
        <v>959</v>
      </c>
      <c r="X371" s="239" t="s">
        <v>3088</v>
      </c>
      <c r="Y371" s="239" t="s">
        <v>3125</v>
      </c>
      <c r="Z371" t="s">
        <v>3107</v>
      </c>
      <c r="AA371" s="299">
        <v>8835</v>
      </c>
    </row>
    <row r="372" spans="17:27" ht="13.8">
      <c r="Q372" s="296">
        <f t="shared" si="5"/>
        <v>366</v>
      </c>
      <c r="R372" s="297" t="s">
        <v>1986</v>
      </c>
      <c r="S372" s="297" t="s">
        <v>1987</v>
      </c>
      <c r="T372" s="298" t="s">
        <v>900</v>
      </c>
      <c r="U372" s="296" t="s">
        <v>1988</v>
      </c>
      <c r="V372" s="296" t="s">
        <v>2741</v>
      </c>
      <c r="W372" s="297" t="s">
        <v>2741</v>
      </c>
      <c r="X372" s="239" t="s">
        <v>3089</v>
      </c>
      <c r="Y372" s="239" t="s">
        <v>3124</v>
      </c>
      <c r="Z372" t="s">
        <v>3111</v>
      </c>
      <c r="AA372" s="299">
        <v>6150</v>
      </c>
    </row>
    <row r="373" spans="17:27" ht="13.8">
      <c r="Q373" s="296">
        <f t="shared" si="5"/>
        <v>367</v>
      </c>
      <c r="R373" s="297" t="s">
        <v>1989</v>
      </c>
      <c r="S373" s="297" t="s">
        <v>1990</v>
      </c>
      <c r="T373" s="298" t="s">
        <v>929</v>
      </c>
      <c r="U373" s="296" t="s">
        <v>1991</v>
      </c>
      <c r="V373" s="296" t="s">
        <v>2742</v>
      </c>
      <c r="W373" s="297" t="s">
        <v>2742</v>
      </c>
      <c r="X373" s="239" t="s">
        <v>3089</v>
      </c>
      <c r="Y373" s="239" t="s">
        <v>3124</v>
      </c>
      <c r="Z373" t="s">
        <v>3105</v>
      </c>
      <c r="AA373" s="299">
        <v>2258</v>
      </c>
    </row>
    <row r="374" spans="17:27" ht="13.8">
      <c r="Q374" s="296">
        <f t="shared" si="5"/>
        <v>368</v>
      </c>
      <c r="R374" s="297" t="s">
        <v>1992</v>
      </c>
      <c r="S374" s="297" t="s">
        <v>1993</v>
      </c>
      <c r="T374" s="298" t="s">
        <v>1126</v>
      </c>
      <c r="U374" s="296" t="s">
        <v>1994</v>
      </c>
      <c r="V374" s="296" t="s">
        <v>1993</v>
      </c>
      <c r="W374" s="297" t="s">
        <v>2966</v>
      </c>
      <c r="X374" s="239" t="s">
        <v>3088</v>
      </c>
      <c r="Y374" s="239" t="s">
        <v>3124</v>
      </c>
      <c r="Z374" t="s">
        <v>3112</v>
      </c>
      <c r="AA374" s="299">
        <v>66876</v>
      </c>
    </row>
    <row r="375" spans="17:27" ht="13.8">
      <c r="Q375" s="296">
        <f t="shared" si="5"/>
        <v>369</v>
      </c>
      <c r="R375" s="297" t="s">
        <v>1995</v>
      </c>
      <c r="S375" s="297" t="s">
        <v>1996</v>
      </c>
      <c r="T375" s="298" t="s">
        <v>908</v>
      </c>
      <c r="U375" s="296" t="s">
        <v>1997</v>
      </c>
      <c r="V375" s="296" t="s">
        <v>2743</v>
      </c>
      <c r="W375" s="297" t="s">
        <v>2743</v>
      </c>
      <c r="X375" s="239" t="s">
        <v>3089</v>
      </c>
      <c r="Y375" s="239" t="s">
        <v>3124</v>
      </c>
      <c r="Z375" t="s">
        <v>3105</v>
      </c>
      <c r="AA375" s="299">
        <v>5888</v>
      </c>
    </row>
    <row r="376" spans="17:27" ht="13.8">
      <c r="Q376" s="296">
        <f t="shared" si="5"/>
        <v>370</v>
      </c>
      <c r="R376" s="297" t="s">
        <v>1998</v>
      </c>
      <c r="S376" s="297" t="s">
        <v>1999</v>
      </c>
      <c r="T376" s="298" t="s">
        <v>918</v>
      </c>
      <c r="U376" s="296" t="s">
        <v>2000</v>
      </c>
      <c r="V376" s="296" t="s">
        <v>1999</v>
      </c>
      <c r="W376" s="297" t="s">
        <v>2967</v>
      </c>
      <c r="X376" s="239" t="s">
        <v>3088</v>
      </c>
      <c r="Y376" s="239" t="s">
        <v>3125</v>
      </c>
      <c r="Z376" t="s">
        <v>3107</v>
      </c>
      <c r="AA376" s="299">
        <v>1910</v>
      </c>
    </row>
    <row r="377" spans="17:27" ht="13.8">
      <c r="Q377" s="296">
        <f t="shared" si="5"/>
        <v>371</v>
      </c>
      <c r="R377" s="297" t="s">
        <v>2001</v>
      </c>
      <c r="S377" s="297" t="s">
        <v>2002</v>
      </c>
      <c r="T377" s="298" t="s">
        <v>908</v>
      </c>
      <c r="U377" s="296" t="s">
        <v>2003</v>
      </c>
      <c r="V377" s="296" t="s">
        <v>2744</v>
      </c>
      <c r="W377" s="297" t="s">
        <v>2744</v>
      </c>
      <c r="X377" s="239" t="s">
        <v>3089</v>
      </c>
      <c r="Y377" s="239" t="s">
        <v>3124</v>
      </c>
      <c r="Z377" t="s">
        <v>3105</v>
      </c>
      <c r="AA377" s="299">
        <v>8244</v>
      </c>
    </row>
    <row r="378" spans="17:27" ht="13.8">
      <c r="Q378" s="296">
        <f t="shared" si="5"/>
        <v>372</v>
      </c>
      <c r="R378" s="297" t="s">
        <v>2004</v>
      </c>
      <c r="S378" s="297" t="s">
        <v>2005</v>
      </c>
      <c r="T378" s="298" t="s">
        <v>990</v>
      </c>
      <c r="U378" s="296" t="s">
        <v>2006</v>
      </c>
      <c r="V378" s="296" t="s">
        <v>3056</v>
      </c>
      <c r="W378" s="297" t="s">
        <v>3071</v>
      </c>
      <c r="X378" s="239" t="s">
        <v>3090</v>
      </c>
      <c r="Y378" s="239" t="s">
        <v>3124</v>
      </c>
      <c r="Z378" t="s">
        <v>3106</v>
      </c>
      <c r="AA378" s="299">
        <v>34447</v>
      </c>
    </row>
    <row r="379" spans="17:27" ht="13.8">
      <c r="Q379" s="296">
        <f t="shared" si="5"/>
        <v>373</v>
      </c>
      <c r="R379" s="297" t="s">
        <v>2007</v>
      </c>
      <c r="S379" s="297" t="s">
        <v>2008</v>
      </c>
      <c r="T379" s="298" t="s">
        <v>922</v>
      </c>
      <c r="U379" s="296" t="s">
        <v>2009</v>
      </c>
      <c r="V379" s="296" t="s">
        <v>2008</v>
      </c>
      <c r="W379" s="297" t="s">
        <v>2968</v>
      </c>
      <c r="X379" s="239" t="s">
        <v>3088</v>
      </c>
      <c r="Y379" s="239" t="s">
        <v>3125</v>
      </c>
      <c r="Z379" t="s">
        <v>3107</v>
      </c>
      <c r="AA379" s="299">
        <v>2444</v>
      </c>
    </row>
    <row r="380" spans="17:27" ht="13.8">
      <c r="Q380" s="296">
        <f t="shared" si="5"/>
        <v>374</v>
      </c>
      <c r="R380" s="297" t="s">
        <v>2010</v>
      </c>
      <c r="S380" s="297" t="s">
        <v>2011</v>
      </c>
      <c r="T380" s="298" t="s">
        <v>908</v>
      </c>
      <c r="U380" s="296" t="s">
        <v>2012</v>
      </c>
      <c r="V380" s="296" t="s">
        <v>2745</v>
      </c>
      <c r="W380" s="297" t="s">
        <v>2745</v>
      </c>
      <c r="X380" s="239" t="s">
        <v>3089</v>
      </c>
      <c r="Y380" s="239" t="s">
        <v>3124</v>
      </c>
      <c r="Z380" t="s">
        <v>3105</v>
      </c>
      <c r="AA380" s="299">
        <v>20292</v>
      </c>
    </row>
    <row r="381" spans="17:27" ht="13.8">
      <c r="Q381" s="296">
        <f t="shared" si="5"/>
        <v>375</v>
      </c>
      <c r="R381" s="297" t="s">
        <v>2013</v>
      </c>
      <c r="S381" s="297" t="s">
        <v>2014</v>
      </c>
      <c r="T381" s="298" t="s">
        <v>969</v>
      </c>
      <c r="U381" s="296" t="s">
        <v>2015</v>
      </c>
      <c r="V381" s="296" t="s">
        <v>2746</v>
      </c>
      <c r="W381" s="297" t="s">
        <v>2746</v>
      </c>
      <c r="X381" s="239" t="s">
        <v>3089</v>
      </c>
      <c r="Y381" s="239" t="s">
        <v>3124</v>
      </c>
      <c r="Z381" t="s">
        <v>3105</v>
      </c>
      <c r="AA381" s="299">
        <v>7438</v>
      </c>
    </row>
    <row r="382" spans="17:27" ht="13.8">
      <c r="Q382" s="296">
        <f t="shared" si="5"/>
        <v>376</v>
      </c>
      <c r="R382" s="297" t="s">
        <v>2016</v>
      </c>
      <c r="S382" s="297" t="s">
        <v>2017</v>
      </c>
      <c r="T382" s="298" t="s">
        <v>908</v>
      </c>
      <c r="U382" s="296" t="s">
        <v>2018</v>
      </c>
      <c r="V382" s="296" t="s">
        <v>2747</v>
      </c>
      <c r="W382" s="297" t="s">
        <v>2747</v>
      </c>
      <c r="X382" s="239" t="s">
        <v>3089</v>
      </c>
      <c r="Y382" s="239" t="s">
        <v>3124</v>
      </c>
      <c r="Z382" t="s">
        <v>3105</v>
      </c>
      <c r="AA382" s="299">
        <v>26698</v>
      </c>
    </row>
    <row r="383" spans="17:27" ht="13.8">
      <c r="Q383" s="296">
        <f t="shared" si="5"/>
        <v>377</v>
      </c>
      <c r="R383" s="297" t="s">
        <v>2019</v>
      </c>
      <c r="S383" s="297" t="s">
        <v>2020</v>
      </c>
      <c r="T383" s="298" t="s">
        <v>908</v>
      </c>
      <c r="U383" s="296" t="s">
        <v>2021</v>
      </c>
      <c r="V383" s="296" t="s">
        <v>2748</v>
      </c>
      <c r="W383" s="297" t="s">
        <v>2748</v>
      </c>
      <c r="X383" s="239" t="s">
        <v>3089</v>
      </c>
      <c r="Y383" s="239" t="s">
        <v>3124</v>
      </c>
      <c r="Z383" t="s">
        <v>3105</v>
      </c>
      <c r="AA383" s="299">
        <v>8883</v>
      </c>
    </row>
    <row r="384" spans="17:27" ht="13.8">
      <c r="Q384" s="296">
        <f t="shared" si="5"/>
        <v>378</v>
      </c>
      <c r="R384" s="297" t="s">
        <v>2022</v>
      </c>
      <c r="S384" s="297" t="s">
        <v>2023</v>
      </c>
      <c r="T384" s="298" t="s">
        <v>1048</v>
      </c>
      <c r="U384" s="296" t="s">
        <v>2024</v>
      </c>
      <c r="V384" s="296" t="s">
        <v>2023</v>
      </c>
      <c r="W384" s="297" t="s">
        <v>2969</v>
      </c>
      <c r="X384" s="239" t="s">
        <v>3088</v>
      </c>
      <c r="Y384" s="239" t="s">
        <v>3124</v>
      </c>
      <c r="Z384" t="s">
        <v>3113</v>
      </c>
      <c r="AA384" s="299">
        <v>56162</v>
      </c>
    </row>
    <row r="385" spans="17:27" ht="13.8">
      <c r="Q385" s="296">
        <f t="shared" si="5"/>
        <v>379</v>
      </c>
      <c r="R385" s="297" t="s">
        <v>2025</v>
      </c>
      <c r="S385" s="297" t="s">
        <v>2026</v>
      </c>
      <c r="T385" s="298" t="s">
        <v>1038</v>
      </c>
      <c r="U385" s="296" t="s">
        <v>2027</v>
      </c>
      <c r="V385" s="296" t="s">
        <v>1038</v>
      </c>
      <c r="W385" s="297" t="s">
        <v>1038</v>
      </c>
      <c r="X385" s="239" t="s">
        <v>3090</v>
      </c>
      <c r="Y385" s="239" t="s">
        <v>3124</v>
      </c>
      <c r="Z385" t="s">
        <v>3106</v>
      </c>
      <c r="AA385" s="299">
        <v>70537</v>
      </c>
    </row>
    <row r="386" spans="17:27" ht="13.8">
      <c r="Q386" s="296">
        <f t="shared" si="5"/>
        <v>380</v>
      </c>
      <c r="R386" s="297" t="s">
        <v>2028</v>
      </c>
      <c r="S386" s="297" t="s">
        <v>2029</v>
      </c>
      <c r="T386" s="298" t="s">
        <v>1038</v>
      </c>
      <c r="U386" s="296" t="s">
        <v>2030</v>
      </c>
      <c r="V386" s="296" t="s">
        <v>3057</v>
      </c>
      <c r="W386" s="297" t="s">
        <v>3057</v>
      </c>
      <c r="X386" s="239" t="s">
        <v>3090</v>
      </c>
      <c r="Y386" s="239" t="s">
        <v>3124</v>
      </c>
      <c r="Z386" t="s">
        <v>3112</v>
      </c>
      <c r="AA386" s="299">
        <v>159732</v>
      </c>
    </row>
    <row r="387" spans="17:27" ht="13.8">
      <c r="Q387" s="296">
        <f t="shared" si="5"/>
        <v>381</v>
      </c>
      <c r="R387" s="297" t="s">
        <v>2031</v>
      </c>
      <c r="S387" s="297" t="s">
        <v>2032</v>
      </c>
      <c r="T387" s="298" t="s">
        <v>1160</v>
      </c>
      <c r="U387" s="296" t="s">
        <v>2033</v>
      </c>
      <c r="V387" s="296" t="s">
        <v>2749</v>
      </c>
      <c r="W387" s="297" t="s">
        <v>2749</v>
      </c>
      <c r="X387" s="239" t="s">
        <v>3089</v>
      </c>
      <c r="Y387" s="239" t="s">
        <v>3124</v>
      </c>
      <c r="Z387" t="s">
        <v>3105</v>
      </c>
      <c r="AA387" s="299">
        <v>6196</v>
      </c>
    </row>
    <row r="388" spans="17:27" ht="13.8">
      <c r="Q388" s="296">
        <f t="shared" si="5"/>
        <v>382</v>
      </c>
      <c r="R388" s="297" t="s">
        <v>2034</v>
      </c>
      <c r="S388" s="297" t="s">
        <v>2035</v>
      </c>
      <c r="T388" s="298" t="s">
        <v>986</v>
      </c>
      <c r="U388" s="296" t="s">
        <v>2036</v>
      </c>
      <c r="V388" s="296" t="s">
        <v>2750</v>
      </c>
      <c r="W388" s="297" t="s">
        <v>2750</v>
      </c>
      <c r="X388" s="239" t="s">
        <v>3089</v>
      </c>
      <c r="Y388" s="239" t="s">
        <v>3124</v>
      </c>
      <c r="Z388" t="s">
        <v>3105</v>
      </c>
      <c r="AA388" s="299">
        <v>2558</v>
      </c>
    </row>
    <row r="389" spans="17:27" ht="13.8">
      <c r="Q389" s="296">
        <f t="shared" si="5"/>
        <v>383</v>
      </c>
      <c r="R389" s="297" t="s">
        <v>2037</v>
      </c>
      <c r="S389" s="297" t="s">
        <v>2038</v>
      </c>
      <c r="T389" s="298" t="s">
        <v>969</v>
      </c>
      <c r="U389" s="296" t="s">
        <v>2039</v>
      </c>
      <c r="V389" s="296" t="s">
        <v>2751</v>
      </c>
      <c r="W389" s="297" t="s">
        <v>2751</v>
      </c>
      <c r="X389" s="239" t="s">
        <v>3089</v>
      </c>
      <c r="Y389" s="239" t="s">
        <v>3124</v>
      </c>
      <c r="Z389" t="s">
        <v>3105</v>
      </c>
      <c r="AA389" s="299">
        <v>1371</v>
      </c>
    </row>
    <row r="390" spans="17:27" ht="13.8">
      <c r="Q390" s="296">
        <f t="shared" si="5"/>
        <v>384</v>
      </c>
      <c r="R390" s="297" t="s">
        <v>2040</v>
      </c>
      <c r="S390" s="297" t="s">
        <v>2041</v>
      </c>
      <c r="T390" s="298" t="s">
        <v>969</v>
      </c>
      <c r="U390" s="296" t="s">
        <v>2042</v>
      </c>
      <c r="V390" s="296" t="s">
        <v>2041</v>
      </c>
      <c r="W390" s="297" t="s">
        <v>2751</v>
      </c>
      <c r="X390" s="239" t="s">
        <v>3088</v>
      </c>
      <c r="Y390" s="239" t="s">
        <v>3124</v>
      </c>
      <c r="Z390" t="s">
        <v>3113</v>
      </c>
      <c r="AA390" s="299">
        <v>26903</v>
      </c>
    </row>
    <row r="391" spans="17:27" ht="13.8">
      <c r="Q391" s="296">
        <f t="shared" si="5"/>
        <v>385</v>
      </c>
      <c r="R391" s="297" t="s">
        <v>2043</v>
      </c>
      <c r="S391" s="297" t="s">
        <v>2044</v>
      </c>
      <c r="T391" s="298" t="s">
        <v>1266</v>
      </c>
      <c r="U391" s="296" t="s">
        <v>2045</v>
      </c>
      <c r="V391" s="296" t="s">
        <v>2752</v>
      </c>
      <c r="W391" s="297" t="s">
        <v>2752</v>
      </c>
      <c r="X391" s="239" t="s">
        <v>3089</v>
      </c>
      <c r="Y391" s="239" t="s">
        <v>3124</v>
      </c>
      <c r="Z391" t="s">
        <v>3105</v>
      </c>
      <c r="AA391" s="299">
        <v>2802</v>
      </c>
    </row>
    <row r="392" spans="17:27" ht="13.8">
      <c r="Q392" s="296">
        <f t="shared" si="5"/>
        <v>386</v>
      </c>
      <c r="R392" s="297" t="s">
        <v>2046</v>
      </c>
      <c r="S392" s="297" t="s">
        <v>2047</v>
      </c>
      <c r="T392" s="298" t="s">
        <v>918</v>
      </c>
      <c r="U392" s="296" t="s">
        <v>2048</v>
      </c>
      <c r="V392" s="296" t="s">
        <v>2753</v>
      </c>
      <c r="W392" s="297" t="s">
        <v>2753</v>
      </c>
      <c r="X392" s="239" t="s">
        <v>3089</v>
      </c>
      <c r="Y392" s="239" t="s">
        <v>3124</v>
      </c>
      <c r="Z392" t="s">
        <v>3105</v>
      </c>
      <c r="AA392" s="299">
        <v>4837</v>
      </c>
    </row>
    <row r="393" spans="17:27" ht="13.8">
      <c r="Q393" s="296">
        <f t="shared" si="5"/>
        <v>387</v>
      </c>
      <c r="R393" s="297" t="s">
        <v>2049</v>
      </c>
      <c r="S393" s="297" t="s">
        <v>2050</v>
      </c>
      <c r="T393" s="298" t="s">
        <v>945</v>
      </c>
      <c r="U393" s="296" t="s">
        <v>2051</v>
      </c>
      <c r="V393" s="296" t="s">
        <v>2050</v>
      </c>
      <c r="W393" s="297" t="s">
        <v>2970</v>
      </c>
      <c r="X393" s="239" t="s">
        <v>3088</v>
      </c>
      <c r="Y393" s="239" t="s">
        <v>3125</v>
      </c>
      <c r="Z393" t="s">
        <v>3110</v>
      </c>
      <c r="AA393" s="299">
        <v>37074</v>
      </c>
    </row>
    <row r="394" spans="17:27" ht="13.8">
      <c r="Q394" s="296">
        <f t="shared" si="5"/>
        <v>388</v>
      </c>
      <c r="R394" s="297" t="s">
        <v>2052</v>
      </c>
      <c r="S394" s="297" t="s">
        <v>2053</v>
      </c>
      <c r="T394" s="298" t="s">
        <v>918</v>
      </c>
      <c r="U394" s="296" t="s">
        <v>2054</v>
      </c>
      <c r="V394" s="296" t="s">
        <v>2053</v>
      </c>
      <c r="W394" s="297" t="s">
        <v>2971</v>
      </c>
      <c r="X394" s="239" t="s">
        <v>3088</v>
      </c>
      <c r="Y394" s="239" t="s">
        <v>3125</v>
      </c>
      <c r="Z394" t="s">
        <v>3110</v>
      </c>
      <c r="AA394" s="299">
        <v>12684</v>
      </c>
    </row>
    <row r="395" spans="17:27" ht="13.8">
      <c r="Q395" s="296">
        <f t="shared" ref="Q395:Q458" si="6">Q394+1</f>
        <v>389</v>
      </c>
      <c r="R395" s="297" t="s">
        <v>2055</v>
      </c>
      <c r="S395" s="297" t="s">
        <v>2056</v>
      </c>
      <c r="T395" s="298" t="s">
        <v>1048</v>
      </c>
      <c r="U395" s="296" t="s">
        <v>2057</v>
      </c>
      <c r="V395" s="296" t="s">
        <v>2056</v>
      </c>
      <c r="W395" s="297" t="s">
        <v>2972</v>
      </c>
      <c r="X395" s="239" t="s">
        <v>3088</v>
      </c>
      <c r="Y395" s="239" t="s">
        <v>3124</v>
      </c>
      <c r="Z395" t="s">
        <v>3111</v>
      </c>
      <c r="AA395" s="299">
        <v>15571</v>
      </c>
    </row>
    <row r="396" spans="17:27" ht="13.8">
      <c r="Q396" s="296">
        <f t="shared" si="6"/>
        <v>390</v>
      </c>
      <c r="R396" s="297" t="s">
        <v>2058</v>
      </c>
      <c r="S396" s="297" t="s">
        <v>2059</v>
      </c>
      <c r="T396" s="298" t="s">
        <v>1126</v>
      </c>
      <c r="U396" s="296" t="s">
        <v>2060</v>
      </c>
      <c r="V396" s="296" t="s">
        <v>3058</v>
      </c>
      <c r="W396" s="297" t="s">
        <v>3058</v>
      </c>
      <c r="X396" s="239" t="s">
        <v>3090</v>
      </c>
      <c r="Y396" s="239" t="s">
        <v>3124</v>
      </c>
      <c r="Z396" t="s">
        <v>3113</v>
      </c>
      <c r="AA396" s="299">
        <v>55436</v>
      </c>
    </row>
    <row r="397" spans="17:27" ht="13.8">
      <c r="Q397" s="296">
        <f t="shared" si="6"/>
        <v>391</v>
      </c>
      <c r="R397" s="297" t="s">
        <v>2061</v>
      </c>
      <c r="S397" s="297" t="s">
        <v>2062</v>
      </c>
      <c r="T397" s="298" t="s">
        <v>922</v>
      </c>
      <c r="U397" s="296" t="s">
        <v>2063</v>
      </c>
      <c r="V397" s="296" t="s">
        <v>3079</v>
      </c>
      <c r="W397" s="297" t="s">
        <v>3079</v>
      </c>
      <c r="X397" s="239" t="s">
        <v>2583</v>
      </c>
      <c r="Y397" s="239" t="s">
        <v>3124</v>
      </c>
      <c r="Z397" t="s">
        <v>3113</v>
      </c>
      <c r="AA397" s="299">
        <v>15249</v>
      </c>
    </row>
    <row r="398" spans="17:27" ht="13.8">
      <c r="Q398" s="296">
        <f t="shared" si="6"/>
        <v>392</v>
      </c>
      <c r="R398" s="297" t="s">
        <v>2064</v>
      </c>
      <c r="S398" s="297" t="s">
        <v>2065</v>
      </c>
      <c r="T398" s="298" t="s">
        <v>918</v>
      </c>
      <c r="U398" s="296" t="s">
        <v>2066</v>
      </c>
      <c r="V398" s="296" t="s">
        <v>2065</v>
      </c>
      <c r="W398" s="297" t="s">
        <v>2973</v>
      </c>
      <c r="X398" s="239" t="s">
        <v>3088</v>
      </c>
      <c r="Y398" s="239" t="s">
        <v>3125</v>
      </c>
      <c r="Z398" t="s">
        <v>3107</v>
      </c>
      <c r="AA398" s="299">
        <v>4183</v>
      </c>
    </row>
    <row r="399" spans="17:27" ht="13.8">
      <c r="Q399" s="296">
        <f t="shared" si="6"/>
        <v>393</v>
      </c>
      <c r="R399" s="297" t="s">
        <v>2067</v>
      </c>
      <c r="S399" s="297" t="s">
        <v>2068</v>
      </c>
      <c r="T399" s="298" t="s">
        <v>959</v>
      </c>
      <c r="U399" s="296" t="s">
        <v>2069</v>
      </c>
      <c r="V399" s="296" t="s">
        <v>2754</v>
      </c>
      <c r="W399" s="297" t="s">
        <v>2754</v>
      </c>
      <c r="X399" s="239" t="s">
        <v>3089</v>
      </c>
      <c r="Y399" s="239" t="s">
        <v>3124</v>
      </c>
      <c r="Z399" t="s">
        <v>3105</v>
      </c>
      <c r="AA399" s="299">
        <v>2139</v>
      </c>
    </row>
    <row r="400" spans="17:27" ht="13.8">
      <c r="Q400" s="296">
        <f t="shared" si="6"/>
        <v>394</v>
      </c>
      <c r="R400" s="297" t="s">
        <v>2070</v>
      </c>
      <c r="S400" s="297" t="s">
        <v>2071</v>
      </c>
      <c r="T400" s="298" t="s">
        <v>945</v>
      </c>
      <c r="U400" s="296" t="s">
        <v>2072</v>
      </c>
      <c r="V400" s="296" t="s">
        <v>2755</v>
      </c>
      <c r="W400" s="297" t="s">
        <v>2755</v>
      </c>
      <c r="X400" s="239" t="s">
        <v>3089</v>
      </c>
      <c r="Y400" s="239" t="s">
        <v>3124</v>
      </c>
      <c r="Z400" t="s">
        <v>3105</v>
      </c>
      <c r="AA400" s="299">
        <v>10743</v>
      </c>
    </row>
    <row r="401" spans="17:27" ht="13.8">
      <c r="Q401" s="296">
        <f t="shared" si="6"/>
        <v>395</v>
      </c>
      <c r="R401" s="297" t="s">
        <v>2073</v>
      </c>
      <c r="S401" s="297" t="s">
        <v>2074</v>
      </c>
      <c r="T401" s="298" t="s">
        <v>945</v>
      </c>
      <c r="U401" s="296" t="s">
        <v>2075</v>
      </c>
      <c r="V401" s="296" t="s">
        <v>2756</v>
      </c>
      <c r="W401" s="297" t="s">
        <v>2756</v>
      </c>
      <c r="X401" s="239" t="s">
        <v>3089</v>
      </c>
      <c r="Y401" s="239" t="s">
        <v>3126</v>
      </c>
      <c r="Z401" t="s">
        <v>3109</v>
      </c>
      <c r="AA401" s="299">
        <v>21</v>
      </c>
    </row>
    <row r="402" spans="17:27" ht="13.8">
      <c r="Q402" s="296">
        <f t="shared" si="6"/>
        <v>396</v>
      </c>
      <c r="R402" s="297" t="s">
        <v>2076</v>
      </c>
      <c r="S402" s="297" t="s">
        <v>2077</v>
      </c>
      <c r="T402" s="298" t="s">
        <v>1126</v>
      </c>
      <c r="U402" s="296" t="s">
        <v>2078</v>
      </c>
      <c r="V402" s="296" t="s">
        <v>2077</v>
      </c>
      <c r="W402" s="297" t="s">
        <v>2974</v>
      </c>
      <c r="X402" s="239" t="s">
        <v>3088</v>
      </c>
      <c r="Y402" s="239" t="s">
        <v>3124</v>
      </c>
      <c r="Z402" t="s">
        <v>3106</v>
      </c>
      <c r="AA402" s="299">
        <v>60804</v>
      </c>
    </row>
    <row r="403" spans="17:27" ht="13.8">
      <c r="Q403" s="296">
        <f t="shared" si="6"/>
        <v>397</v>
      </c>
      <c r="R403" s="297" t="s">
        <v>2079</v>
      </c>
      <c r="S403" s="297" t="s">
        <v>2080</v>
      </c>
      <c r="T403" s="298" t="s">
        <v>1160</v>
      </c>
      <c r="U403" s="296" t="s">
        <v>2081</v>
      </c>
      <c r="V403" s="296" t="s">
        <v>2757</v>
      </c>
      <c r="W403" s="297" t="s">
        <v>2757</v>
      </c>
      <c r="X403" s="239" t="s">
        <v>3089</v>
      </c>
      <c r="Y403" s="239" t="s">
        <v>3124</v>
      </c>
      <c r="Z403" t="s">
        <v>3105</v>
      </c>
      <c r="AA403" s="299">
        <v>8780</v>
      </c>
    </row>
    <row r="404" spans="17:27" ht="13.8">
      <c r="Q404" s="296">
        <f t="shared" si="6"/>
        <v>398</v>
      </c>
      <c r="R404" s="297" t="s">
        <v>2082</v>
      </c>
      <c r="S404" s="297" t="s">
        <v>2083</v>
      </c>
      <c r="T404" s="298" t="s">
        <v>918</v>
      </c>
      <c r="U404" s="296" t="s">
        <v>2084</v>
      </c>
      <c r="V404" s="296" t="s">
        <v>2083</v>
      </c>
      <c r="W404" s="297" t="s">
        <v>2975</v>
      </c>
      <c r="X404" s="239" t="s">
        <v>3088</v>
      </c>
      <c r="Y404" s="239" t="s">
        <v>3125</v>
      </c>
      <c r="Z404" t="s">
        <v>3110</v>
      </c>
      <c r="AA404" s="299">
        <v>8777</v>
      </c>
    </row>
    <row r="405" spans="17:27" ht="13.8">
      <c r="Q405" s="296">
        <f t="shared" si="6"/>
        <v>399</v>
      </c>
      <c r="R405" s="297" t="s">
        <v>2085</v>
      </c>
      <c r="S405" s="297" t="s">
        <v>2086</v>
      </c>
      <c r="T405" s="298" t="s">
        <v>1006</v>
      </c>
      <c r="U405" s="296" t="s">
        <v>2087</v>
      </c>
      <c r="V405" s="296" t="s">
        <v>3059</v>
      </c>
      <c r="W405" s="297" t="s">
        <v>3059</v>
      </c>
      <c r="X405" s="239" t="s">
        <v>3090</v>
      </c>
      <c r="Y405" s="239" t="s">
        <v>3124</v>
      </c>
      <c r="Z405" t="s">
        <v>3106</v>
      </c>
      <c r="AA405" s="299">
        <v>54586</v>
      </c>
    </row>
    <row r="406" spans="17:27" ht="13.8">
      <c r="Q406" s="296">
        <f t="shared" si="6"/>
        <v>400</v>
      </c>
      <c r="R406" s="297" t="s">
        <v>2088</v>
      </c>
      <c r="S406" s="297" t="s">
        <v>2089</v>
      </c>
      <c r="T406" s="298" t="s">
        <v>1126</v>
      </c>
      <c r="U406" s="296" t="s">
        <v>2090</v>
      </c>
      <c r="V406" s="296" t="s">
        <v>2089</v>
      </c>
      <c r="W406" s="297" t="s">
        <v>2976</v>
      </c>
      <c r="X406" s="239" t="s">
        <v>3088</v>
      </c>
      <c r="Y406" s="239" t="s">
        <v>3125</v>
      </c>
      <c r="Z406" t="s">
        <v>3110</v>
      </c>
      <c r="AA406" s="299">
        <v>24084</v>
      </c>
    </row>
    <row r="407" spans="17:27" ht="13.8">
      <c r="Q407" s="296">
        <f t="shared" si="6"/>
        <v>401</v>
      </c>
      <c r="R407" s="297" t="s">
        <v>2091</v>
      </c>
      <c r="S407" s="297" t="s">
        <v>2092</v>
      </c>
      <c r="T407" s="298" t="s">
        <v>904</v>
      </c>
      <c r="U407" s="296" t="s">
        <v>2093</v>
      </c>
      <c r="V407" s="296" t="s">
        <v>3060</v>
      </c>
      <c r="W407" s="297" t="s">
        <v>3060</v>
      </c>
      <c r="X407" s="239" t="s">
        <v>3090</v>
      </c>
      <c r="Y407" s="239" t="s">
        <v>3124</v>
      </c>
      <c r="Z407" t="s">
        <v>3106</v>
      </c>
      <c r="AA407" s="299">
        <v>20629</v>
      </c>
    </row>
    <row r="408" spans="17:27" ht="13.8">
      <c r="Q408" s="296">
        <f t="shared" si="6"/>
        <v>402</v>
      </c>
      <c r="R408" s="297" t="s">
        <v>2094</v>
      </c>
      <c r="S408" s="297" t="s">
        <v>2095</v>
      </c>
      <c r="T408" s="298" t="s">
        <v>959</v>
      </c>
      <c r="U408" s="296" t="s">
        <v>2096</v>
      </c>
      <c r="V408" s="296" t="s">
        <v>2095</v>
      </c>
      <c r="W408" s="297" t="s">
        <v>2977</v>
      </c>
      <c r="X408" s="239" t="s">
        <v>3088</v>
      </c>
      <c r="Y408" s="239" t="s">
        <v>3125</v>
      </c>
      <c r="Z408" t="s">
        <v>3110</v>
      </c>
      <c r="AA408" s="299">
        <v>8072</v>
      </c>
    </row>
    <row r="409" spans="17:27" ht="13.8">
      <c r="Q409" s="296">
        <f t="shared" si="6"/>
        <v>403</v>
      </c>
      <c r="R409" s="297" t="s">
        <v>2097</v>
      </c>
      <c r="S409" s="297" t="s">
        <v>2098</v>
      </c>
      <c r="T409" s="298" t="s">
        <v>922</v>
      </c>
      <c r="U409" s="296" t="s">
        <v>2099</v>
      </c>
      <c r="V409" s="296" t="s">
        <v>2098</v>
      </c>
      <c r="W409" s="297" t="s">
        <v>2978</v>
      </c>
      <c r="X409" s="239" t="s">
        <v>3088</v>
      </c>
      <c r="Y409" s="239" t="s">
        <v>3124</v>
      </c>
      <c r="Z409" t="s">
        <v>3108</v>
      </c>
      <c r="AA409" s="299">
        <v>3241</v>
      </c>
    </row>
    <row r="410" spans="17:27" ht="13.8">
      <c r="Q410" s="296">
        <f t="shared" si="6"/>
        <v>404</v>
      </c>
      <c r="R410" s="297" t="s">
        <v>2100</v>
      </c>
      <c r="S410" s="297" t="s">
        <v>2101</v>
      </c>
      <c r="T410" s="298" t="s">
        <v>959</v>
      </c>
      <c r="U410" s="296" t="s">
        <v>2102</v>
      </c>
      <c r="V410" s="296" t="s">
        <v>2758</v>
      </c>
      <c r="W410" s="297" t="s">
        <v>2758</v>
      </c>
      <c r="X410" s="239" t="s">
        <v>3089</v>
      </c>
      <c r="Y410" s="239" t="s">
        <v>3124</v>
      </c>
      <c r="Z410" t="s">
        <v>3105</v>
      </c>
      <c r="AA410" s="299">
        <v>4766</v>
      </c>
    </row>
    <row r="411" spans="17:27" ht="13.8">
      <c r="Q411" s="296">
        <f t="shared" si="6"/>
        <v>405</v>
      </c>
      <c r="R411" s="297" t="s">
        <v>2103</v>
      </c>
      <c r="S411" s="297" t="s">
        <v>2104</v>
      </c>
      <c r="T411" s="298" t="s">
        <v>959</v>
      </c>
      <c r="U411" s="296" t="s">
        <v>2105</v>
      </c>
      <c r="V411" s="296" t="s">
        <v>2759</v>
      </c>
      <c r="W411" s="297" t="s">
        <v>2759</v>
      </c>
      <c r="X411" s="239" t="s">
        <v>3089</v>
      </c>
      <c r="Y411" s="239" t="s">
        <v>3124</v>
      </c>
      <c r="Z411" t="s">
        <v>3105</v>
      </c>
      <c r="AA411" s="299">
        <v>18941</v>
      </c>
    </row>
    <row r="412" spans="17:27" ht="13.8">
      <c r="Q412" s="296">
        <f t="shared" si="6"/>
        <v>406</v>
      </c>
      <c r="R412" s="297" t="s">
        <v>2106</v>
      </c>
      <c r="S412" s="297" t="s">
        <v>2107</v>
      </c>
      <c r="T412" s="298" t="s">
        <v>1038</v>
      </c>
      <c r="U412" s="296" t="s">
        <v>2108</v>
      </c>
      <c r="V412" s="296" t="s">
        <v>2760</v>
      </c>
      <c r="W412" s="297" t="s">
        <v>2760</v>
      </c>
      <c r="X412" s="239" t="s">
        <v>3089</v>
      </c>
      <c r="Y412" s="239" t="s">
        <v>3124</v>
      </c>
      <c r="Z412" t="s">
        <v>3105</v>
      </c>
      <c r="AA412" s="299">
        <v>11127</v>
      </c>
    </row>
    <row r="413" spans="17:27" ht="13.8">
      <c r="Q413" s="296">
        <f t="shared" si="6"/>
        <v>407</v>
      </c>
      <c r="R413" s="297" t="s">
        <v>2109</v>
      </c>
      <c r="S413" s="297" t="s">
        <v>2110</v>
      </c>
      <c r="T413" s="298" t="s">
        <v>904</v>
      </c>
      <c r="U413" s="296" t="s">
        <v>2111</v>
      </c>
      <c r="V413" s="296" t="s">
        <v>3061</v>
      </c>
      <c r="W413" s="297" t="s">
        <v>3061</v>
      </c>
      <c r="X413" s="239" t="s">
        <v>3090</v>
      </c>
      <c r="Y413" s="239" t="s">
        <v>3124</v>
      </c>
      <c r="Z413" t="s">
        <v>3106</v>
      </c>
      <c r="AA413" s="299">
        <v>1101</v>
      </c>
    </row>
    <row r="414" spans="17:27" ht="13.8">
      <c r="Q414" s="296">
        <f t="shared" si="6"/>
        <v>408</v>
      </c>
      <c r="R414" s="298" t="s">
        <v>2112</v>
      </c>
      <c r="S414" s="297" t="s">
        <v>2113</v>
      </c>
      <c r="T414" s="298" t="s">
        <v>1266</v>
      </c>
      <c r="U414" s="296" t="s">
        <v>2114</v>
      </c>
      <c r="V414" s="296" t="s">
        <v>2113</v>
      </c>
      <c r="W414" s="297" t="s">
        <v>2113</v>
      </c>
      <c r="X414" s="239" t="s">
        <v>3089</v>
      </c>
      <c r="Y414" s="239" t="s">
        <v>3124</v>
      </c>
      <c r="Z414" t="e">
        <v>#N/A</v>
      </c>
      <c r="AA414" s="299">
        <v>30681</v>
      </c>
    </row>
    <row r="415" spans="17:27" ht="13.8">
      <c r="Q415" s="296">
        <f t="shared" si="6"/>
        <v>409</v>
      </c>
      <c r="R415" s="297" t="s">
        <v>2115</v>
      </c>
      <c r="S415" s="297" t="s">
        <v>2116</v>
      </c>
      <c r="T415" s="298" t="s">
        <v>1038</v>
      </c>
      <c r="U415" s="296" t="s">
        <v>2117</v>
      </c>
      <c r="V415" s="296" t="s">
        <v>2761</v>
      </c>
      <c r="W415" s="297" t="s">
        <v>2761</v>
      </c>
      <c r="X415" s="239" t="s">
        <v>3089</v>
      </c>
      <c r="Y415" s="239" t="s">
        <v>3124</v>
      </c>
      <c r="Z415" t="s">
        <v>3105</v>
      </c>
      <c r="AA415" s="299">
        <v>6372</v>
      </c>
    </row>
    <row r="416" spans="17:27" ht="13.8">
      <c r="Q416" s="296">
        <f t="shared" si="6"/>
        <v>410</v>
      </c>
      <c r="R416" s="297" t="s">
        <v>2118</v>
      </c>
      <c r="S416" s="297" t="s">
        <v>2119</v>
      </c>
      <c r="T416" s="298" t="s">
        <v>918</v>
      </c>
      <c r="U416" s="296" t="s">
        <v>2120</v>
      </c>
      <c r="V416" s="296" t="s">
        <v>2119</v>
      </c>
      <c r="W416" s="297" t="s">
        <v>2979</v>
      </c>
      <c r="X416" s="239" t="s">
        <v>3088</v>
      </c>
      <c r="Y416" s="239" t="s">
        <v>3125</v>
      </c>
      <c r="Z416" t="s">
        <v>3107</v>
      </c>
      <c r="AA416" s="299">
        <v>2580</v>
      </c>
    </row>
    <row r="417" spans="17:27" ht="13.8">
      <c r="Q417" s="296">
        <f t="shared" si="6"/>
        <v>411</v>
      </c>
      <c r="R417" s="297" t="s">
        <v>2121</v>
      </c>
      <c r="S417" s="297" t="s">
        <v>2122</v>
      </c>
      <c r="T417" s="298" t="s">
        <v>1006</v>
      </c>
      <c r="U417" s="296" t="s">
        <v>2123</v>
      </c>
      <c r="V417" s="296" t="s">
        <v>3062</v>
      </c>
      <c r="W417" s="297" t="s">
        <v>3062</v>
      </c>
      <c r="X417" s="239" t="s">
        <v>3090</v>
      </c>
      <c r="Y417" s="239" t="s">
        <v>3124</v>
      </c>
      <c r="Z417" t="s">
        <v>3112</v>
      </c>
      <c r="AA417" s="299">
        <v>29556</v>
      </c>
    </row>
    <row r="418" spans="17:27" ht="13.8">
      <c r="Q418" s="296">
        <f t="shared" si="6"/>
        <v>412</v>
      </c>
      <c r="R418" s="297" t="s">
        <v>2124</v>
      </c>
      <c r="S418" s="297" t="s">
        <v>2125</v>
      </c>
      <c r="T418" s="298" t="s">
        <v>908</v>
      </c>
      <c r="U418" s="296" t="s">
        <v>2126</v>
      </c>
      <c r="V418" s="296" t="s">
        <v>2762</v>
      </c>
      <c r="W418" s="297" t="s">
        <v>2762</v>
      </c>
      <c r="X418" s="239" t="s">
        <v>3089</v>
      </c>
      <c r="Y418" s="239" t="s">
        <v>3124</v>
      </c>
      <c r="Z418" t="s">
        <v>3105</v>
      </c>
      <c r="AA418" s="299">
        <v>14798</v>
      </c>
    </row>
    <row r="419" spans="17:27" ht="13.8">
      <c r="Q419" s="296">
        <f t="shared" si="6"/>
        <v>413</v>
      </c>
      <c r="R419" s="297" t="s">
        <v>2127</v>
      </c>
      <c r="S419" s="297" t="s">
        <v>2128</v>
      </c>
      <c r="T419" s="298" t="s">
        <v>1048</v>
      </c>
      <c r="U419" s="296" t="s">
        <v>2129</v>
      </c>
      <c r="V419" s="296" t="s">
        <v>2128</v>
      </c>
      <c r="W419" s="297" t="s">
        <v>2980</v>
      </c>
      <c r="X419" s="239" t="s">
        <v>3088</v>
      </c>
      <c r="Y419" s="239" t="s">
        <v>3124</v>
      </c>
      <c r="Z419" t="s">
        <v>3114</v>
      </c>
      <c r="AA419" s="299">
        <v>26504</v>
      </c>
    </row>
    <row r="420" spans="17:27" ht="13.8">
      <c r="Q420" s="296">
        <f t="shared" si="6"/>
        <v>414</v>
      </c>
      <c r="R420" s="297" t="s">
        <v>2130</v>
      </c>
      <c r="S420" s="297" t="s">
        <v>2131</v>
      </c>
      <c r="T420" s="298" t="s">
        <v>986</v>
      </c>
      <c r="U420" s="296" t="s">
        <v>2132</v>
      </c>
      <c r="V420" s="296" t="s">
        <v>2763</v>
      </c>
      <c r="W420" s="297" t="s">
        <v>2763</v>
      </c>
      <c r="X420" s="239" t="s">
        <v>3089</v>
      </c>
      <c r="Y420" s="239" t="s">
        <v>3124</v>
      </c>
      <c r="Z420" t="s">
        <v>3105</v>
      </c>
      <c r="AA420" s="299">
        <v>7835</v>
      </c>
    </row>
    <row r="421" spans="17:27" ht="13.8">
      <c r="Q421" s="296">
        <f t="shared" si="6"/>
        <v>415</v>
      </c>
      <c r="R421" s="297" t="s">
        <v>2133</v>
      </c>
      <c r="S421" s="297" t="s">
        <v>2134</v>
      </c>
      <c r="T421" s="298" t="s">
        <v>1025</v>
      </c>
      <c r="U421" s="296" t="s">
        <v>2135</v>
      </c>
      <c r="V421" s="296" t="s">
        <v>2134</v>
      </c>
      <c r="W421" s="297" t="s">
        <v>2763</v>
      </c>
      <c r="X421" s="239" t="s">
        <v>3088</v>
      </c>
      <c r="Y421" s="239" t="s">
        <v>3125</v>
      </c>
      <c r="Z421" t="s">
        <v>3110</v>
      </c>
      <c r="AA421" s="299">
        <v>23447</v>
      </c>
    </row>
    <row r="422" spans="17:27" ht="13.8">
      <c r="Q422" s="296">
        <f t="shared" si="6"/>
        <v>416</v>
      </c>
      <c r="R422" s="297" t="s">
        <v>2136</v>
      </c>
      <c r="S422" s="297" t="s">
        <v>2137</v>
      </c>
      <c r="T422" s="298" t="s">
        <v>1025</v>
      </c>
      <c r="U422" s="296" t="s">
        <v>2138</v>
      </c>
      <c r="V422" s="296" t="s">
        <v>2137</v>
      </c>
      <c r="W422" s="297" t="s">
        <v>2981</v>
      </c>
      <c r="X422" s="239" t="s">
        <v>3088</v>
      </c>
      <c r="Y422" s="239" t="s">
        <v>3125</v>
      </c>
      <c r="Z422" t="s">
        <v>3110</v>
      </c>
      <c r="AA422" s="299">
        <v>16128</v>
      </c>
    </row>
    <row r="423" spans="17:27" ht="13.8">
      <c r="Q423" s="296">
        <f t="shared" si="6"/>
        <v>417</v>
      </c>
      <c r="R423" s="297" t="s">
        <v>2139</v>
      </c>
      <c r="S423" s="297" t="s">
        <v>2140</v>
      </c>
      <c r="T423" s="298" t="s">
        <v>900</v>
      </c>
      <c r="U423" s="296" t="s">
        <v>2141</v>
      </c>
      <c r="V423" s="296" t="s">
        <v>2764</v>
      </c>
      <c r="W423" s="297" t="s">
        <v>2764</v>
      </c>
      <c r="X423" s="239" t="s">
        <v>3089</v>
      </c>
      <c r="Y423" s="239" t="s">
        <v>3124</v>
      </c>
      <c r="Z423" t="s">
        <v>3105</v>
      </c>
      <c r="AA423" s="299">
        <v>12936</v>
      </c>
    </row>
    <row r="424" spans="17:27" ht="13.8">
      <c r="Q424" s="296">
        <f t="shared" si="6"/>
        <v>418</v>
      </c>
      <c r="R424" s="297" t="s">
        <v>2142</v>
      </c>
      <c r="S424" s="297" t="s">
        <v>2143</v>
      </c>
      <c r="T424" s="298" t="s">
        <v>908</v>
      </c>
      <c r="U424" s="296" t="s">
        <v>2144</v>
      </c>
      <c r="V424" s="296" t="s">
        <v>2765</v>
      </c>
      <c r="W424" s="297" t="s">
        <v>2765</v>
      </c>
      <c r="X424" s="239" t="s">
        <v>3089</v>
      </c>
      <c r="Y424" s="239" t="s">
        <v>3124</v>
      </c>
      <c r="Z424" t="s">
        <v>3105</v>
      </c>
      <c r="AA424" s="299">
        <v>11501</v>
      </c>
    </row>
    <row r="425" spans="17:27" ht="13.8">
      <c r="Q425" s="296">
        <f t="shared" si="6"/>
        <v>419</v>
      </c>
      <c r="R425" s="297" t="s">
        <v>2145</v>
      </c>
      <c r="S425" s="297" t="s">
        <v>2146</v>
      </c>
      <c r="T425" s="298" t="s">
        <v>908</v>
      </c>
      <c r="U425" s="296" t="s">
        <v>2147</v>
      </c>
      <c r="V425" s="296" t="s">
        <v>2146</v>
      </c>
      <c r="W425" s="297" t="s">
        <v>3093</v>
      </c>
      <c r="X425" s="239" t="s">
        <v>3091</v>
      </c>
      <c r="Y425" s="239" t="s">
        <v>3126</v>
      </c>
      <c r="Z425" t="s">
        <v>3120</v>
      </c>
      <c r="AA425" s="299">
        <v>13224</v>
      </c>
    </row>
    <row r="426" spans="17:27" ht="13.8">
      <c r="Q426" s="296">
        <f t="shared" si="6"/>
        <v>420</v>
      </c>
      <c r="R426" s="297" t="s">
        <v>2148</v>
      </c>
      <c r="S426" s="297" t="s">
        <v>2149</v>
      </c>
      <c r="T426" s="298" t="s">
        <v>908</v>
      </c>
      <c r="U426" s="296" t="s">
        <v>2150</v>
      </c>
      <c r="V426" s="296" t="s">
        <v>2149</v>
      </c>
      <c r="W426" s="297" t="s">
        <v>3094</v>
      </c>
      <c r="X426" s="239" t="s">
        <v>3091</v>
      </c>
      <c r="Y426" s="239" t="s">
        <v>3124</v>
      </c>
      <c r="Z426" t="s">
        <v>3111</v>
      </c>
      <c r="AA426" s="299">
        <v>25979</v>
      </c>
    </row>
    <row r="427" spans="17:27" ht="13.8">
      <c r="Q427" s="296">
        <f t="shared" si="6"/>
        <v>421</v>
      </c>
      <c r="R427" s="297" t="s">
        <v>2151</v>
      </c>
      <c r="S427" s="297" t="s">
        <v>2152</v>
      </c>
      <c r="T427" s="298" t="s">
        <v>1038</v>
      </c>
      <c r="U427" s="296" t="s">
        <v>2153</v>
      </c>
      <c r="V427" s="296" t="s">
        <v>2766</v>
      </c>
      <c r="W427" s="297" t="s">
        <v>2766</v>
      </c>
      <c r="X427" s="239" t="s">
        <v>3089</v>
      </c>
      <c r="Y427" s="239" t="s">
        <v>3124</v>
      </c>
      <c r="Z427" t="s">
        <v>3114</v>
      </c>
      <c r="AA427" s="299">
        <v>11735</v>
      </c>
    </row>
    <row r="428" spans="17:27" ht="13.8">
      <c r="Q428" s="296">
        <f t="shared" si="6"/>
        <v>422</v>
      </c>
      <c r="R428" s="297" t="s">
        <v>2154</v>
      </c>
      <c r="S428" s="297" t="s">
        <v>2155</v>
      </c>
      <c r="T428" s="298" t="s">
        <v>908</v>
      </c>
      <c r="U428" s="296" t="s">
        <v>2156</v>
      </c>
      <c r="V428" s="296" t="s">
        <v>2767</v>
      </c>
      <c r="W428" s="297" t="s">
        <v>2767</v>
      </c>
      <c r="X428" s="239" t="s">
        <v>3089</v>
      </c>
      <c r="Y428" s="239" t="s">
        <v>3124</v>
      </c>
      <c r="Z428" t="s">
        <v>3105</v>
      </c>
      <c r="AA428" s="299">
        <v>12049</v>
      </c>
    </row>
    <row r="429" spans="17:27" ht="13.8">
      <c r="Q429" s="296">
        <f t="shared" si="6"/>
        <v>423</v>
      </c>
      <c r="R429" s="297" t="s">
        <v>2157</v>
      </c>
      <c r="S429" s="297" t="s">
        <v>2158</v>
      </c>
      <c r="T429" s="298" t="s">
        <v>908</v>
      </c>
      <c r="U429" s="296" t="s">
        <v>2159</v>
      </c>
      <c r="V429" s="296" t="s">
        <v>2158</v>
      </c>
      <c r="W429" s="297" t="s">
        <v>2982</v>
      </c>
      <c r="X429" s="239" t="s">
        <v>3088</v>
      </c>
      <c r="Y429" s="239" t="s">
        <v>3124</v>
      </c>
      <c r="Z429" t="s">
        <v>3113</v>
      </c>
      <c r="AA429" s="299">
        <v>9909</v>
      </c>
    </row>
    <row r="430" spans="17:27" ht="13.8">
      <c r="Q430" s="296">
        <f t="shared" si="6"/>
        <v>424</v>
      </c>
      <c r="R430" s="297" t="s">
        <v>2160</v>
      </c>
      <c r="S430" s="297" t="s">
        <v>2161</v>
      </c>
      <c r="T430" s="298" t="s">
        <v>1048</v>
      </c>
      <c r="U430" s="296" t="s">
        <v>2162</v>
      </c>
      <c r="V430" s="296" t="s">
        <v>2768</v>
      </c>
      <c r="W430" s="297" t="s">
        <v>2768</v>
      </c>
      <c r="X430" s="239" t="s">
        <v>3089</v>
      </c>
      <c r="Y430" s="239" t="s">
        <v>3124</v>
      </c>
      <c r="Z430" t="s">
        <v>3105</v>
      </c>
      <c r="AA430" s="299">
        <v>4107</v>
      </c>
    </row>
    <row r="431" spans="17:27" ht="13.8">
      <c r="Q431" s="296">
        <f t="shared" si="6"/>
        <v>425</v>
      </c>
      <c r="R431" s="297" t="s">
        <v>2163</v>
      </c>
      <c r="S431" s="297" t="s">
        <v>2164</v>
      </c>
      <c r="T431" s="298" t="s">
        <v>969</v>
      </c>
      <c r="U431" s="296" t="s">
        <v>2165</v>
      </c>
      <c r="V431" s="296" t="s">
        <v>2164</v>
      </c>
      <c r="W431" s="297" t="s">
        <v>2983</v>
      </c>
      <c r="X431" s="239" t="s">
        <v>3088</v>
      </c>
      <c r="Y431" s="239" t="s">
        <v>3125</v>
      </c>
      <c r="Z431" t="s">
        <v>3110</v>
      </c>
      <c r="AA431" s="299">
        <v>8003</v>
      </c>
    </row>
    <row r="432" spans="17:27" ht="13.8">
      <c r="Q432" s="296">
        <f t="shared" si="6"/>
        <v>426</v>
      </c>
      <c r="R432" s="297" t="s">
        <v>2166</v>
      </c>
      <c r="S432" s="297" t="s">
        <v>2167</v>
      </c>
      <c r="T432" s="298" t="s">
        <v>969</v>
      </c>
      <c r="U432" s="296" t="s">
        <v>2168</v>
      </c>
      <c r="V432" s="296" t="s">
        <v>2769</v>
      </c>
      <c r="W432" s="297" t="s">
        <v>2769</v>
      </c>
      <c r="X432" s="239" t="s">
        <v>3089</v>
      </c>
      <c r="Y432" s="239" t="s">
        <v>3124</v>
      </c>
      <c r="Z432" t="s">
        <v>3105</v>
      </c>
      <c r="AA432" s="299">
        <v>2764</v>
      </c>
    </row>
    <row r="433" spans="17:27" ht="13.8">
      <c r="Q433" s="296">
        <f t="shared" si="6"/>
        <v>427</v>
      </c>
      <c r="R433" s="297" t="s">
        <v>2169</v>
      </c>
      <c r="S433" s="297" t="s">
        <v>2170</v>
      </c>
      <c r="T433" s="298" t="s">
        <v>1266</v>
      </c>
      <c r="U433" s="296" t="s">
        <v>2171</v>
      </c>
      <c r="V433" s="296" t="s">
        <v>2170</v>
      </c>
      <c r="W433" s="297" t="s">
        <v>2984</v>
      </c>
      <c r="X433" s="239" t="s">
        <v>3088</v>
      </c>
      <c r="Y433" s="239" t="s">
        <v>3124</v>
      </c>
      <c r="Z433" t="s">
        <v>3113</v>
      </c>
      <c r="AA433" s="299">
        <v>15476</v>
      </c>
    </row>
    <row r="434" spans="17:27" ht="13.8">
      <c r="Q434" s="296">
        <f t="shared" si="6"/>
        <v>428</v>
      </c>
      <c r="R434" s="297" t="s">
        <v>2172</v>
      </c>
      <c r="S434" s="297" t="s">
        <v>2173</v>
      </c>
      <c r="T434" s="298" t="s">
        <v>908</v>
      </c>
      <c r="U434" s="296" t="s">
        <v>2174</v>
      </c>
      <c r="V434" s="296" t="s">
        <v>2173</v>
      </c>
      <c r="W434" s="297" t="s">
        <v>2985</v>
      </c>
      <c r="X434" s="239" t="s">
        <v>3088</v>
      </c>
      <c r="Y434" s="239" t="s">
        <v>3125</v>
      </c>
      <c r="Z434" t="s">
        <v>3110</v>
      </c>
      <c r="AA434" s="299">
        <v>5814</v>
      </c>
    </row>
    <row r="435" spans="17:27" ht="13.8">
      <c r="Q435" s="296">
        <f t="shared" si="6"/>
        <v>429</v>
      </c>
      <c r="R435" s="297" t="s">
        <v>2175</v>
      </c>
      <c r="S435" s="297" t="s">
        <v>2176</v>
      </c>
      <c r="T435" s="298" t="s">
        <v>1048</v>
      </c>
      <c r="U435" s="296" t="s">
        <v>2177</v>
      </c>
      <c r="V435" s="296" t="s">
        <v>2770</v>
      </c>
      <c r="W435" s="297" t="s">
        <v>2770</v>
      </c>
      <c r="X435" s="239" t="s">
        <v>3089</v>
      </c>
      <c r="Y435" s="239" t="s">
        <v>3124</v>
      </c>
      <c r="Z435" t="s">
        <v>3105</v>
      </c>
      <c r="AA435" s="299">
        <v>6598</v>
      </c>
    </row>
    <row r="436" spans="17:27" ht="13.8">
      <c r="Q436" s="296">
        <f t="shared" si="6"/>
        <v>430</v>
      </c>
      <c r="R436" s="297" t="s">
        <v>2178</v>
      </c>
      <c r="S436" s="297" t="s">
        <v>2179</v>
      </c>
      <c r="T436" s="298" t="s">
        <v>1048</v>
      </c>
      <c r="U436" s="296" t="s">
        <v>2180</v>
      </c>
      <c r="V436" s="296" t="s">
        <v>2179</v>
      </c>
      <c r="W436" s="297" t="s">
        <v>2770</v>
      </c>
      <c r="X436" s="239" t="s">
        <v>3088</v>
      </c>
      <c r="Y436" s="239" t="s">
        <v>3124</v>
      </c>
      <c r="Z436" t="s">
        <v>3112</v>
      </c>
      <c r="AA436" s="299">
        <v>25341</v>
      </c>
    </row>
    <row r="437" spans="17:27" ht="13.8">
      <c r="Q437" s="296">
        <f t="shared" si="6"/>
        <v>431</v>
      </c>
      <c r="R437" s="297" t="s">
        <v>2181</v>
      </c>
      <c r="S437" s="297" t="s">
        <v>2182</v>
      </c>
      <c r="T437" s="298" t="s">
        <v>908</v>
      </c>
      <c r="U437" s="296" t="s">
        <v>2183</v>
      </c>
      <c r="V437" s="296" t="s">
        <v>2771</v>
      </c>
      <c r="W437" s="297" t="s">
        <v>2771</v>
      </c>
      <c r="X437" s="239" t="s">
        <v>3089</v>
      </c>
      <c r="Y437" s="239" t="s">
        <v>3124</v>
      </c>
      <c r="Z437" t="s">
        <v>3105</v>
      </c>
      <c r="AA437" s="299">
        <v>407</v>
      </c>
    </row>
    <row r="438" spans="17:27" ht="13.8">
      <c r="Q438" s="296">
        <f t="shared" si="6"/>
        <v>432</v>
      </c>
      <c r="R438" s="297" t="s">
        <v>2184</v>
      </c>
      <c r="S438" s="297" t="s">
        <v>2185</v>
      </c>
      <c r="T438" s="298" t="s">
        <v>986</v>
      </c>
      <c r="U438" s="296" t="s">
        <v>2186</v>
      </c>
      <c r="V438" s="296" t="s">
        <v>2772</v>
      </c>
      <c r="W438" s="297" t="s">
        <v>2772</v>
      </c>
      <c r="X438" s="239" t="s">
        <v>3089</v>
      </c>
      <c r="Y438" s="239" t="s">
        <v>3124</v>
      </c>
      <c r="Z438" t="s">
        <v>3105</v>
      </c>
      <c r="AA438" s="299">
        <v>743</v>
      </c>
    </row>
    <row r="439" spans="17:27" ht="13.8">
      <c r="Q439" s="296">
        <f t="shared" si="6"/>
        <v>433</v>
      </c>
      <c r="R439" s="297" t="s">
        <v>2187</v>
      </c>
      <c r="S439" s="297" t="s">
        <v>2188</v>
      </c>
      <c r="T439" s="298" t="s">
        <v>900</v>
      </c>
      <c r="U439" s="296" t="s">
        <v>2189</v>
      </c>
      <c r="V439" s="296" t="s">
        <v>2773</v>
      </c>
      <c r="W439" s="297" t="s">
        <v>2773</v>
      </c>
      <c r="X439" s="239" t="s">
        <v>3089</v>
      </c>
      <c r="Y439" s="239" t="s">
        <v>3124</v>
      </c>
      <c r="Z439" t="s">
        <v>3105</v>
      </c>
      <c r="AA439" s="299">
        <v>808</v>
      </c>
    </row>
    <row r="440" spans="17:27" ht="13.8">
      <c r="Q440" s="296">
        <f t="shared" si="6"/>
        <v>434</v>
      </c>
      <c r="R440" s="297" t="s">
        <v>2190</v>
      </c>
      <c r="S440" s="297" t="s">
        <v>2191</v>
      </c>
      <c r="T440" s="298" t="s">
        <v>990</v>
      </c>
      <c r="U440" s="296" t="s">
        <v>2192</v>
      </c>
      <c r="V440" s="296" t="s">
        <v>2774</v>
      </c>
      <c r="W440" s="297" t="s">
        <v>2774</v>
      </c>
      <c r="X440" s="239" t="s">
        <v>3089</v>
      </c>
      <c r="Y440" s="239" t="s">
        <v>3124</v>
      </c>
      <c r="Z440" t="s">
        <v>3105</v>
      </c>
      <c r="AA440" s="299">
        <v>6299</v>
      </c>
    </row>
    <row r="441" spans="17:27" ht="13.8">
      <c r="Q441" s="296">
        <f t="shared" si="6"/>
        <v>435</v>
      </c>
      <c r="R441" s="297" t="s">
        <v>2193</v>
      </c>
      <c r="S441" s="297" t="s">
        <v>2194</v>
      </c>
      <c r="T441" s="298" t="s">
        <v>1006</v>
      </c>
      <c r="U441" s="296" t="s">
        <v>2195</v>
      </c>
      <c r="V441" s="296" t="s">
        <v>2775</v>
      </c>
      <c r="W441" s="297" t="s">
        <v>2775</v>
      </c>
      <c r="X441" s="239" t="s">
        <v>3089</v>
      </c>
      <c r="Y441" s="239" t="s">
        <v>3124</v>
      </c>
      <c r="Z441" t="s">
        <v>3105</v>
      </c>
      <c r="AA441" s="299">
        <v>22695</v>
      </c>
    </row>
    <row r="442" spans="17:27" ht="13.8">
      <c r="Q442" s="296">
        <f t="shared" si="6"/>
        <v>436</v>
      </c>
      <c r="R442" s="297" t="s">
        <v>2196</v>
      </c>
      <c r="S442" s="297" t="s">
        <v>2197</v>
      </c>
      <c r="T442" s="298" t="s">
        <v>1006</v>
      </c>
      <c r="U442" s="296" t="s">
        <v>2198</v>
      </c>
      <c r="V442" s="296" t="s">
        <v>2776</v>
      </c>
      <c r="W442" s="297" t="s">
        <v>2776</v>
      </c>
      <c r="X442" s="239" t="s">
        <v>3089</v>
      </c>
      <c r="Y442" s="239" t="s">
        <v>3124</v>
      </c>
      <c r="Z442" t="s">
        <v>3105</v>
      </c>
      <c r="AA442" s="299">
        <v>13967</v>
      </c>
    </row>
    <row r="443" spans="17:27" ht="13.8">
      <c r="Q443" s="296">
        <f t="shared" si="6"/>
        <v>437</v>
      </c>
      <c r="R443" s="297" t="s">
        <v>2199</v>
      </c>
      <c r="S443" s="297" t="s">
        <v>2200</v>
      </c>
      <c r="T443" s="298" t="s">
        <v>1048</v>
      </c>
      <c r="U443" s="296" t="s">
        <v>2201</v>
      </c>
      <c r="V443" s="296" t="s">
        <v>2200</v>
      </c>
      <c r="W443" s="297" t="s">
        <v>2986</v>
      </c>
      <c r="X443" s="239" t="s">
        <v>3088</v>
      </c>
      <c r="Y443" s="239" t="s">
        <v>3124</v>
      </c>
      <c r="Z443" t="s">
        <v>3114</v>
      </c>
      <c r="AA443" s="299">
        <v>22950</v>
      </c>
    </row>
    <row r="444" spans="17:27" ht="13.8">
      <c r="Q444" s="296">
        <f t="shared" si="6"/>
        <v>438</v>
      </c>
      <c r="R444" s="297" t="s">
        <v>2202</v>
      </c>
      <c r="S444" s="297" t="s">
        <v>2203</v>
      </c>
      <c r="T444" s="298" t="s">
        <v>900</v>
      </c>
      <c r="U444" s="296" t="s">
        <v>2204</v>
      </c>
      <c r="V444" s="296" t="s">
        <v>2777</v>
      </c>
      <c r="W444" s="297" t="s">
        <v>2777</v>
      </c>
      <c r="X444" s="239" t="s">
        <v>3089</v>
      </c>
      <c r="Y444" s="239" t="s">
        <v>3124</v>
      </c>
      <c r="Z444" t="s">
        <v>3105</v>
      </c>
      <c r="AA444" s="299">
        <v>7343</v>
      </c>
    </row>
    <row r="445" spans="17:27" ht="13.8">
      <c r="Q445" s="296">
        <f t="shared" si="6"/>
        <v>439</v>
      </c>
      <c r="R445" s="297" t="s">
        <v>2205</v>
      </c>
      <c r="S445" s="297" t="s">
        <v>2206</v>
      </c>
      <c r="T445" s="298" t="s">
        <v>945</v>
      </c>
      <c r="U445" s="296" t="s">
        <v>2207</v>
      </c>
      <c r="V445" s="296" t="s">
        <v>2778</v>
      </c>
      <c r="W445" s="297" t="s">
        <v>2778</v>
      </c>
      <c r="X445" s="239" t="s">
        <v>3089</v>
      </c>
      <c r="Y445" s="239" t="s">
        <v>3124</v>
      </c>
      <c r="Z445" t="s">
        <v>3105</v>
      </c>
      <c r="AA445" s="299">
        <v>8324</v>
      </c>
    </row>
    <row r="446" spans="17:27" ht="13.8">
      <c r="Q446" s="296">
        <f t="shared" si="6"/>
        <v>440</v>
      </c>
      <c r="R446" s="297" t="s">
        <v>2208</v>
      </c>
      <c r="S446" s="297" t="s">
        <v>2209</v>
      </c>
      <c r="T446" s="298" t="s">
        <v>908</v>
      </c>
      <c r="U446" s="296" t="s">
        <v>2210</v>
      </c>
      <c r="V446" s="296" t="s">
        <v>2779</v>
      </c>
      <c r="W446" s="297" t="s">
        <v>2779</v>
      </c>
      <c r="X446" s="239" t="s">
        <v>3089</v>
      </c>
      <c r="Y446" s="239" t="s">
        <v>3124</v>
      </c>
      <c r="Z446" t="s">
        <v>3105</v>
      </c>
      <c r="AA446" s="299">
        <v>18834</v>
      </c>
    </row>
    <row r="447" spans="17:27" ht="13.8">
      <c r="Q447" s="296">
        <f t="shared" si="6"/>
        <v>441</v>
      </c>
      <c r="R447" s="297" t="s">
        <v>2211</v>
      </c>
      <c r="S447" s="297" t="s">
        <v>2212</v>
      </c>
      <c r="T447" s="298" t="s">
        <v>908</v>
      </c>
      <c r="U447" s="296" t="s">
        <v>2213</v>
      </c>
      <c r="V447" s="296" t="s">
        <v>2212</v>
      </c>
      <c r="W447" s="297" t="s">
        <v>2987</v>
      </c>
      <c r="X447" s="239" t="s">
        <v>3088</v>
      </c>
      <c r="Y447" s="239" t="s">
        <v>3124</v>
      </c>
      <c r="Z447" t="s">
        <v>3113</v>
      </c>
      <c r="AA447" s="299">
        <v>14294</v>
      </c>
    </row>
    <row r="448" spans="17:27" ht="13.8">
      <c r="Q448" s="296">
        <f t="shared" si="6"/>
        <v>442</v>
      </c>
      <c r="R448" s="297" t="s">
        <v>2214</v>
      </c>
      <c r="S448" s="297" t="s">
        <v>2215</v>
      </c>
      <c r="T448" s="298" t="s">
        <v>908</v>
      </c>
      <c r="U448" s="296" t="s">
        <v>2216</v>
      </c>
      <c r="V448" s="296" t="s">
        <v>2780</v>
      </c>
      <c r="W448" s="297" t="s">
        <v>2780</v>
      </c>
      <c r="X448" s="239" t="s">
        <v>3089</v>
      </c>
      <c r="Y448" s="239" t="s">
        <v>3124</v>
      </c>
      <c r="Z448" t="s">
        <v>3105</v>
      </c>
      <c r="AA448" s="299">
        <v>3372</v>
      </c>
    </row>
    <row r="449" spans="17:27" ht="13.8">
      <c r="Q449" s="296">
        <f t="shared" si="6"/>
        <v>443</v>
      </c>
      <c r="R449" s="297" t="s">
        <v>2217</v>
      </c>
      <c r="S449" s="297" t="s">
        <v>2218</v>
      </c>
      <c r="T449" s="298" t="s">
        <v>918</v>
      </c>
      <c r="U449" s="296" t="s">
        <v>2219</v>
      </c>
      <c r="V449" s="296" t="s">
        <v>918</v>
      </c>
      <c r="W449" s="297" t="s">
        <v>918</v>
      </c>
      <c r="X449" s="239" t="s">
        <v>3090</v>
      </c>
      <c r="Y449" s="239" t="s">
        <v>3124</v>
      </c>
      <c r="Z449" t="s">
        <v>3118</v>
      </c>
      <c r="AA449" s="299">
        <v>5296</v>
      </c>
    </row>
    <row r="450" spans="17:27" ht="13.8">
      <c r="Q450" s="296">
        <f t="shared" si="6"/>
        <v>444</v>
      </c>
      <c r="R450" s="297" t="s">
        <v>2220</v>
      </c>
      <c r="S450" s="297" t="s">
        <v>2221</v>
      </c>
      <c r="T450" s="298" t="s">
        <v>929</v>
      </c>
      <c r="U450" s="296" t="s">
        <v>2222</v>
      </c>
      <c r="V450" s="296" t="s">
        <v>2221</v>
      </c>
      <c r="W450" s="297" t="s">
        <v>2988</v>
      </c>
      <c r="X450" s="239" t="s">
        <v>3088</v>
      </c>
      <c r="Y450" s="239" t="s">
        <v>3125</v>
      </c>
      <c r="Z450" t="s">
        <v>3107</v>
      </c>
      <c r="AA450" s="299">
        <v>1977</v>
      </c>
    </row>
    <row r="451" spans="17:27" ht="13.8">
      <c r="Q451" s="296">
        <f t="shared" si="6"/>
        <v>445</v>
      </c>
      <c r="R451" s="297" t="s">
        <v>2223</v>
      </c>
      <c r="S451" s="297" t="s">
        <v>2224</v>
      </c>
      <c r="T451" s="298" t="s">
        <v>1126</v>
      </c>
      <c r="U451" s="296" t="s">
        <v>2225</v>
      </c>
      <c r="V451" s="296" t="s">
        <v>2781</v>
      </c>
      <c r="W451" s="297" t="s">
        <v>2781</v>
      </c>
      <c r="X451" s="239" t="s">
        <v>3089</v>
      </c>
      <c r="Y451" s="239" t="s">
        <v>3124</v>
      </c>
      <c r="Z451" t="s">
        <v>3105</v>
      </c>
      <c r="AA451" s="299">
        <v>45345</v>
      </c>
    </row>
    <row r="452" spans="17:27" ht="13.8">
      <c r="Q452" s="296">
        <f t="shared" si="6"/>
        <v>446</v>
      </c>
      <c r="R452" s="297" t="s">
        <v>2226</v>
      </c>
      <c r="S452" s="297" t="s">
        <v>2227</v>
      </c>
      <c r="T452" s="298" t="s">
        <v>1006</v>
      </c>
      <c r="U452" s="296" t="s">
        <v>2228</v>
      </c>
      <c r="V452" s="296" t="s">
        <v>2227</v>
      </c>
      <c r="W452" s="297" t="s">
        <v>2989</v>
      </c>
      <c r="X452" s="239" t="s">
        <v>3088</v>
      </c>
      <c r="Y452" s="239" t="s">
        <v>3124</v>
      </c>
      <c r="Z452" t="s">
        <v>3108</v>
      </c>
      <c r="AA452" s="299">
        <v>24968</v>
      </c>
    </row>
    <row r="453" spans="17:27" ht="13.8">
      <c r="Q453" s="296">
        <f t="shared" si="6"/>
        <v>447</v>
      </c>
      <c r="R453" s="297" t="s">
        <v>2229</v>
      </c>
      <c r="S453" s="297" t="s">
        <v>2230</v>
      </c>
      <c r="T453" s="298" t="s">
        <v>900</v>
      </c>
      <c r="U453" s="296" t="s">
        <v>2231</v>
      </c>
      <c r="V453" s="296" t="s">
        <v>2782</v>
      </c>
      <c r="W453" s="297" t="s">
        <v>2782</v>
      </c>
      <c r="X453" s="239" t="s">
        <v>3089</v>
      </c>
      <c r="Y453" s="239" t="s">
        <v>3124</v>
      </c>
      <c r="Z453" t="s">
        <v>3105</v>
      </c>
      <c r="AA453" s="299">
        <v>1449</v>
      </c>
    </row>
    <row r="454" spans="17:27" ht="13.8">
      <c r="Q454" s="296">
        <f t="shared" si="6"/>
        <v>448</v>
      </c>
      <c r="R454" s="297" t="s">
        <v>2232</v>
      </c>
      <c r="S454" s="297" t="s">
        <v>2233</v>
      </c>
      <c r="T454" s="298" t="s">
        <v>900</v>
      </c>
      <c r="U454" s="296" t="s">
        <v>2234</v>
      </c>
      <c r="V454" s="296" t="s">
        <v>2783</v>
      </c>
      <c r="W454" s="297" t="s">
        <v>2783</v>
      </c>
      <c r="X454" s="239" t="s">
        <v>3089</v>
      </c>
      <c r="Y454" s="239" t="s">
        <v>3124</v>
      </c>
      <c r="Z454" t="s">
        <v>3105</v>
      </c>
      <c r="AA454" s="299">
        <v>1866</v>
      </c>
    </row>
    <row r="455" spans="17:27" ht="13.8">
      <c r="Q455" s="296">
        <f t="shared" si="6"/>
        <v>449</v>
      </c>
      <c r="R455" s="297" t="s">
        <v>2235</v>
      </c>
      <c r="S455" s="297" t="s">
        <v>2236</v>
      </c>
      <c r="T455" s="298" t="s">
        <v>952</v>
      </c>
      <c r="U455" s="296" t="s">
        <v>2237</v>
      </c>
      <c r="V455" s="296" t="s">
        <v>2236</v>
      </c>
      <c r="W455" s="297" t="s">
        <v>2236</v>
      </c>
      <c r="X455" s="239" t="s">
        <v>3090</v>
      </c>
      <c r="Y455" s="239" t="s">
        <v>3124</v>
      </c>
      <c r="Z455" t="s">
        <v>3113</v>
      </c>
      <c r="AA455" s="299">
        <v>2104</v>
      </c>
    </row>
    <row r="456" spans="17:27" ht="13.8">
      <c r="Q456" s="296">
        <f t="shared" si="6"/>
        <v>450</v>
      </c>
      <c r="R456" s="297" t="s">
        <v>2238</v>
      </c>
      <c r="S456" s="297" t="s">
        <v>2239</v>
      </c>
      <c r="T456" s="298" t="s">
        <v>959</v>
      </c>
      <c r="U456" s="296" t="s">
        <v>2240</v>
      </c>
      <c r="V456" s="296" t="s">
        <v>2784</v>
      </c>
      <c r="W456" s="297" t="s">
        <v>2784</v>
      </c>
      <c r="X456" s="239" t="s">
        <v>3089</v>
      </c>
      <c r="Y456" s="239" t="s">
        <v>3124</v>
      </c>
      <c r="Z456" t="s">
        <v>3105</v>
      </c>
      <c r="AA456" s="299">
        <v>2440</v>
      </c>
    </row>
    <row r="457" spans="17:27" ht="13.8">
      <c r="Q457" s="296">
        <f t="shared" si="6"/>
        <v>451</v>
      </c>
      <c r="R457" s="297" t="s">
        <v>2241</v>
      </c>
      <c r="S457" s="297" t="s">
        <v>2242</v>
      </c>
      <c r="T457" s="298" t="s">
        <v>959</v>
      </c>
      <c r="U457" s="296" t="s">
        <v>2243</v>
      </c>
      <c r="V457" s="296" t="s">
        <v>2785</v>
      </c>
      <c r="W457" s="297" t="s">
        <v>2785</v>
      </c>
      <c r="X457" s="239" t="s">
        <v>3089</v>
      </c>
      <c r="Y457" s="239" t="s">
        <v>3124</v>
      </c>
      <c r="Z457" t="s">
        <v>3105</v>
      </c>
      <c r="AA457" s="299">
        <v>1436</v>
      </c>
    </row>
    <row r="458" spans="17:27" ht="13.8">
      <c r="Q458" s="296">
        <f t="shared" si="6"/>
        <v>452</v>
      </c>
      <c r="R458" s="297" t="s">
        <v>2244</v>
      </c>
      <c r="S458" s="297" t="s">
        <v>2245</v>
      </c>
      <c r="T458" s="298" t="s">
        <v>976</v>
      </c>
      <c r="U458" s="296" t="s">
        <v>2246</v>
      </c>
      <c r="V458" s="296" t="s">
        <v>3080</v>
      </c>
      <c r="W458" s="297" t="s">
        <v>3080</v>
      </c>
      <c r="X458" s="239" t="s">
        <v>2583</v>
      </c>
      <c r="Y458" s="239" t="s">
        <v>3124</v>
      </c>
      <c r="Z458" t="s">
        <v>3105</v>
      </c>
      <c r="AA458" s="299">
        <v>22181</v>
      </c>
    </row>
    <row r="459" spans="17:27" ht="13.8">
      <c r="Q459" s="296">
        <f t="shared" ref="Q459:Q522" si="7">Q458+1</f>
        <v>453</v>
      </c>
      <c r="R459" s="297" t="s">
        <v>2247</v>
      </c>
      <c r="S459" s="297" t="s">
        <v>2248</v>
      </c>
      <c r="T459" s="298" t="s">
        <v>969</v>
      </c>
      <c r="U459" s="296" t="s">
        <v>2249</v>
      </c>
      <c r="V459" s="296" t="s">
        <v>2248</v>
      </c>
      <c r="W459" s="297" t="s">
        <v>2990</v>
      </c>
      <c r="X459" s="239" t="s">
        <v>3088</v>
      </c>
      <c r="Y459" s="239" t="s">
        <v>3125</v>
      </c>
      <c r="Z459" t="s">
        <v>3110</v>
      </c>
      <c r="AA459" s="299">
        <v>6460</v>
      </c>
    </row>
    <row r="460" spans="17:27" ht="13.8">
      <c r="Q460" s="296">
        <f t="shared" si="7"/>
        <v>454</v>
      </c>
      <c r="R460" s="297" t="s">
        <v>2250</v>
      </c>
      <c r="S460" s="297" t="s">
        <v>2251</v>
      </c>
      <c r="T460" s="298" t="s">
        <v>1073</v>
      </c>
      <c r="U460" s="296" t="s">
        <v>2252</v>
      </c>
      <c r="V460" s="296" t="s">
        <v>2786</v>
      </c>
      <c r="W460" s="297" t="s">
        <v>2786</v>
      </c>
      <c r="X460" s="239" t="s">
        <v>3089</v>
      </c>
      <c r="Y460" s="239" t="s">
        <v>3124</v>
      </c>
      <c r="Z460" t="s">
        <v>3105</v>
      </c>
      <c r="AA460" s="299">
        <v>444</v>
      </c>
    </row>
    <row r="461" spans="17:27" ht="13.8">
      <c r="Q461" s="296">
        <f t="shared" si="7"/>
        <v>455</v>
      </c>
      <c r="R461" s="297" t="s">
        <v>2253</v>
      </c>
      <c r="S461" s="297" t="s">
        <v>2254</v>
      </c>
      <c r="T461" s="298" t="s">
        <v>959</v>
      </c>
      <c r="U461" s="296" t="s">
        <v>2255</v>
      </c>
      <c r="V461" s="296" t="s">
        <v>2787</v>
      </c>
      <c r="W461" s="297" t="s">
        <v>2787</v>
      </c>
      <c r="X461" s="239" t="s">
        <v>3089</v>
      </c>
      <c r="Y461" s="239" t="s">
        <v>3124</v>
      </c>
      <c r="Z461" t="s">
        <v>3105</v>
      </c>
      <c r="AA461" s="299">
        <v>1098</v>
      </c>
    </row>
    <row r="462" spans="17:27" ht="13.8">
      <c r="Q462" s="296">
        <f t="shared" si="7"/>
        <v>456</v>
      </c>
      <c r="R462" s="297" t="s">
        <v>2256</v>
      </c>
      <c r="S462" s="297" t="s">
        <v>2257</v>
      </c>
      <c r="T462" s="298" t="s">
        <v>900</v>
      </c>
      <c r="U462" s="296" t="s">
        <v>2258</v>
      </c>
      <c r="V462" s="296" t="s">
        <v>2788</v>
      </c>
      <c r="W462" s="297" t="s">
        <v>2788</v>
      </c>
      <c r="X462" s="239" t="s">
        <v>3089</v>
      </c>
      <c r="Y462" s="239" t="s">
        <v>3124</v>
      </c>
      <c r="Z462" t="s">
        <v>3105</v>
      </c>
      <c r="AA462" s="299">
        <v>4184</v>
      </c>
    </row>
    <row r="463" spans="17:27" ht="13.8">
      <c r="Q463" s="296">
        <f t="shared" si="7"/>
        <v>457</v>
      </c>
      <c r="R463" s="297" t="s">
        <v>2259</v>
      </c>
      <c r="S463" s="297" t="s">
        <v>2260</v>
      </c>
      <c r="T463" s="298" t="s">
        <v>900</v>
      </c>
      <c r="U463" s="296" t="s">
        <v>2261</v>
      </c>
      <c r="V463" s="296" t="s">
        <v>2260</v>
      </c>
      <c r="W463" s="297" t="s">
        <v>2788</v>
      </c>
      <c r="X463" s="239" t="s">
        <v>3088</v>
      </c>
      <c r="Y463" s="239" t="s">
        <v>3125</v>
      </c>
      <c r="Z463" t="s">
        <v>3107</v>
      </c>
      <c r="AA463" s="299">
        <v>1076</v>
      </c>
    </row>
    <row r="464" spans="17:27" ht="13.8">
      <c r="Q464" s="296">
        <f t="shared" si="7"/>
        <v>458</v>
      </c>
      <c r="R464" s="297" t="s">
        <v>2262</v>
      </c>
      <c r="S464" s="297" t="s">
        <v>2263</v>
      </c>
      <c r="T464" s="298" t="s">
        <v>945</v>
      </c>
      <c r="U464" s="296" t="s">
        <v>2264</v>
      </c>
      <c r="V464" s="296" t="s">
        <v>2789</v>
      </c>
      <c r="W464" s="297" t="s">
        <v>2789</v>
      </c>
      <c r="X464" s="239" t="s">
        <v>3089</v>
      </c>
      <c r="Y464" s="239" t="s">
        <v>3124</v>
      </c>
      <c r="Z464" t="s">
        <v>3105</v>
      </c>
      <c r="AA464" s="299">
        <v>5566</v>
      </c>
    </row>
    <row r="465" spans="17:27" ht="13.8">
      <c r="Q465" s="296">
        <f t="shared" si="7"/>
        <v>459</v>
      </c>
      <c r="R465" s="297" t="s">
        <v>2265</v>
      </c>
      <c r="S465" s="297" t="s">
        <v>2266</v>
      </c>
      <c r="T465" s="298" t="s">
        <v>904</v>
      </c>
      <c r="U465" s="296" t="s">
        <v>2267</v>
      </c>
      <c r="V465" s="296" t="s">
        <v>3063</v>
      </c>
      <c r="W465" s="297" t="s">
        <v>3063</v>
      </c>
      <c r="X465" s="239" t="s">
        <v>3090</v>
      </c>
      <c r="Y465" s="239" t="s">
        <v>3124</v>
      </c>
      <c r="Z465" t="s">
        <v>3106</v>
      </c>
      <c r="AA465" s="299">
        <v>10469</v>
      </c>
    </row>
    <row r="466" spans="17:27" ht="13.8">
      <c r="Q466" s="296">
        <f t="shared" si="7"/>
        <v>460</v>
      </c>
      <c r="R466" s="297" t="s">
        <v>2268</v>
      </c>
      <c r="S466" s="297" t="s">
        <v>2269</v>
      </c>
      <c r="T466" s="298" t="s">
        <v>986</v>
      </c>
      <c r="U466" s="296" t="s">
        <v>2270</v>
      </c>
      <c r="V466" s="296" t="s">
        <v>2790</v>
      </c>
      <c r="W466" s="297" t="s">
        <v>2790</v>
      </c>
      <c r="X466" s="239" t="s">
        <v>3089</v>
      </c>
      <c r="Y466" s="239" t="s">
        <v>3124</v>
      </c>
      <c r="Z466" t="s">
        <v>3105</v>
      </c>
      <c r="AA466" s="299">
        <v>12346</v>
      </c>
    </row>
    <row r="467" spans="17:27" ht="13.8">
      <c r="Q467" s="296">
        <f t="shared" si="7"/>
        <v>461</v>
      </c>
      <c r="R467" s="297" t="s">
        <v>2271</v>
      </c>
      <c r="S467" s="297" t="s">
        <v>2272</v>
      </c>
      <c r="T467" s="298" t="s">
        <v>1126</v>
      </c>
      <c r="U467" s="296" t="s">
        <v>2273</v>
      </c>
      <c r="V467" s="296" t="s">
        <v>3064</v>
      </c>
      <c r="W467" s="297" t="s">
        <v>3064</v>
      </c>
      <c r="X467" s="239" t="s">
        <v>3090</v>
      </c>
      <c r="Y467" s="239" t="s">
        <v>3124</v>
      </c>
      <c r="Z467" t="s">
        <v>3113</v>
      </c>
      <c r="AA467" s="299">
        <v>9411</v>
      </c>
    </row>
    <row r="468" spans="17:27" ht="13.8">
      <c r="Q468" s="296">
        <f t="shared" si="7"/>
        <v>462</v>
      </c>
      <c r="R468" s="297" t="s">
        <v>2274</v>
      </c>
      <c r="S468" s="297" t="s">
        <v>2275</v>
      </c>
      <c r="T468" s="298" t="s">
        <v>986</v>
      </c>
      <c r="U468" s="296" t="s">
        <v>2276</v>
      </c>
      <c r="V468" s="296" t="s">
        <v>2791</v>
      </c>
      <c r="W468" s="297" t="s">
        <v>2791</v>
      </c>
      <c r="X468" s="239" t="s">
        <v>3089</v>
      </c>
      <c r="Y468" s="239" t="s">
        <v>3124</v>
      </c>
      <c r="Z468" t="s">
        <v>3105</v>
      </c>
      <c r="AA468" s="299">
        <v>4863</v>
      </c>
    </row>
    <row r="469" spans="17:27" ht="13.8">
      <c r="Q469" s="296">
        <f t="shared" si="7"/>
        <v>463</v>
      </c>
      <c r="R469" s="297" t="s">
        <v>2277</v>
      </c>
      <c r="S469" s="297" t="s">
        <v>2278</v>
      </c>
      <c r="T469" s="298" t="s">
        <v>1126</v>
      </c>
      <c r="U469" s="296" t="s">
        <v>2279</v>
      </c>
      <c r="V469" s="296" t="s">
        <v>2278</v>
      </c>
      <c r="W469" s="297" t="s">
        <v>2991</v>
      </c>
      <c r="X469" s="239" t="s">
        <v>3088</v>
      </c>
      <c r="Y469" s="239" t="s">
        <v>3124</v>
      </c>
      <c r="Z469" t="s">
        <v>3108</v>
      </c>
      <c r="AA469" s="299">
        <v>47043</v>
      </c>
    </row>
    <row r="470" spans="17:27" ht="13.8">
      <c r="Q470" s="296">
        <f t="shared" si="7"/>
        <v>464</v>
      </c>
      <c r="R470" s="297" t="s">
        <v>2280</v>
      </c>
      <c r="S470" s="297" t="s">
        <v>2281</v>
      </c>
      <c r="T470" s="298" t="s">
        <v>908</v>
      </c>
      <c r="U470" s="296" t="s">
        <v>2282</v>
      </c>
      <c r="V470" s="296" t="s">
        <v>2281</v>
      </c>
      <c r="W470" s="297" t="s">
        <v>2992</v>
      </c>
      <c r="X470" s="239" t="s">
        <v>3088</v>
      </c>
      <c r="Y470" s="239" t="s">
        <v>3125</v>
      </c>
      <c r="Z470" t="s">
        <v>3110</v>
      </c>
      <c r="AA470" s="299">
        <v>2701</v>
      </c>
    </row>
    <row r="471" spans="17:27" ht="13.8">
      <c r="Q471" s="296">
        <f t="shared" si="7"/>
        <v>465</v>
      </c>
      <c r="R471" s="297" t="s">
        <v>2283</v>
      </c>
      <c r="S471" s="297" t="s">
        <v>2284</v>
      </c>
      <c r="T471" s="298" t="s">
        <v>1160</v>
      </c>
      <c r="U471" s="296" t="s">
        <v>2285</v>
      </c>
      <c r="V471" s="296" t="s">
        <v>2284</v>
      </c>
      <c r="W471" s="297" t="s">
        <v>2993</v>
      </c>
      <c r="X471" s="239" t="s">
        <v>3088</v>
      </c>
      <c r="Y471" s="239" t="s">
        <v>3125</v>
      </c>
      <c r="Z471" t="s">
        <v>3110</v>
      </c>
      <c r="AA471" s="299">
        <v>3395</v>
      </c>
    </row>
    <row r="472" spans="17:27" ht="13.8">
      <c r="Q472" s="296">
        <f t="shared" si="7"/>
        <v>466</v>
      </c>
      <c r="R472" s="297" t="s">
        <v>2286</v>
      </c>
      <c r="S472" s="297" t="s">
        <v>2287</v>
      </c>
      <c r="T472" s="298" t="s">
        <v>990</v>
      </c>
      <c r="U472" s="296" t="s">
        <v>2288</v>
      </c>
      <c r="V472" s="296" t="s">
        <v>2287</v>
      </c>
      <c r="W472" s="297" t="s">
        <v>2287</v>
      </c>
      <c r="X472" s="239" t="s">
        <v>3088</v>
      </c>
      <c r="Y472" s="239" t="s">
        <v>3128</v>
      </c>
      <c r="Z472" t="s">
        <v>3122</v>
      </c>
      <c r="AA472" s="299">
        <v>18484</v>
      </c>
    </row>
    <row r="473" spans="17:27" ht="13.8">
      <c r="Q473" s="296">
        <f t="shared" si="7"/>
        <v>467</v>
      </c>
      <c r="R473" s="297" t="s">
        <v>2289</v>
      </c>
      <c r="S473" s="297" t="s">
        <v>2290</v>
      </c>
      <c r="T473" s="298" t="s">
        <v>1126</v>
      </c>
      <c r="U473" s="296" t="s">
        <v>2291</v>
      </c>
      <c r="V473" s="296" t="s">
        <v>2792</v>
      </c>
      <c r="W473" s="297" t="s">
        <v>2792</v>
      </c>
      <c r="X473" s="239" t="s">
        <v>3089</v>
      </c>
      <c r="Y473" s="239" t="s">
        <v>3124</v>
      </c>
      <c r="Z473" t="s">
        <v>3105</v>
      </c>
      <c r="AA473" s="299">
        <v>24338</v>
      </c>
    </row>
    <row r="474" spans="17:27" ht="13.8">
      <c r="Q474" s="296">
        <f t="shared" si="7"/>
        <v>468</v>
      </c>
      <c r="R474" s="297" t="s">
        <v>2292</v>
      </c>
      <c r="S474" s="297" t="s">
        <v>2293</v>
      </c>
      <c r="T474" s="298" t="s">
        <v>1126</v>
      </c>
      <c r="U474" s="296" t="s">
        <v>2294</v>
      </c>
      <c r="V474" s="296" t="s">
        <v>2793</v>
      </c>
      <c r="W474" s="297" t="s">
        <v>2793</v>
      </c>
      <c r="X474" s="239" t="s">
        <v>3089</v>
      </c>
      <c r="Y474" s="239" t="s">
        <v>3124</v>
      </c>
      <c r="Z474" t="s">
        <v>3105</v>
      </c>
      <c r="AA474" s="299">
        <v>16118</v>
      </c>
    </row>
    <row r="475" spans="17:27" ht="13.8">
      <c r="Q475" s="296">
        <f t="shared" si="7"/>
        <v>469</v>
      </c>
      <c r="R475" s="297" t="s">
        <v>2295</v>
      </c>
      <c r="S475" s="297" t="s">
        <v>2296</v>
      </c>
      <c r="T475" s="298" t="s">
        <v>959</v>
      </c>
      <c r="U475" s="296" t="s">
        <v>2297</v>
      </c>
      <c r="V475" s="296" t="s">
        <v>2794</v>
      </c>
      <c r="W475" s="297" t="s">
        <v>2794</v>
      </c>
      <c r="X475" s="239" t="s">
        <v>3089</v>
      </c>
      <c r="Y475" s="239" t="s">
        <v>3124</v>
      </c>
      <c r="Z475" t="s">
        <v>3105</v>
      </c>
      <c r="AA475" s="299">
        <v>3643</v>
      </c>
    </row>
    <row r="476" spans="17:27" ht="13.8">
      <c r="Q476" s="296">
        <f t="shared" si="7"/>
        <v>470</v>
      </c>
      <c r="R476" s="297" t="s">
        <v>2298</v>
      </c>
      <c r="S476" s="297" t="s">
        <v>2299</v>
      </c>
      <c r="T476" s="298" t="s">
        <v>969</v>
      </c>
      <c r="U476" s="296" t="s">
        <v>2300</v>
      </c>
      <c r="V476" s="296" t="s">
        <v>2299</v>
      </c>
      <c r="W476" s="297" t="s">
        <v>2994</v>
      </c>
      <c r="X476" s="239" t="s">
        <v>3088</v>
      </c>
      <c r="Y476" s="239" t="s">
        <v>3125</v>
      </c>
      <c r="Z476" t="s">
        <v>3110</v>
      </c>
      <c r="AA476" s="299">
        <v>10317</v>
      </c>
    </row>
    <row r="477" spans="17:27" ht="13.8">
      <c r="Q477" s="296">
        <f t="shared" si="7"/>
        <v>471</v>
      </c>
      <c r="R477" s="297" t="s">
        <v>2301</v>
      </c>
      <c r="S477" s="297" t="s">
        <v>2302</v>
      </c>
      <c r="T477" s="298" t="s">
        <v>929</v>
      </c>
      <c r="U477" s="296" t="s">
        <v>2303</v>
      </c>
      <c r="V477" s="296" t="s">
        <v>2302</v>
      </c>
      <c r="W477" s="297" t="s">
        <v>2995</v>
      </c>
      <c r="X477" s="239" t="s">
        <v>3088</v>
      </c>
      <c r="Y477" s="239" t="s">
        <v>3124</v>
      </c>
      <c r="Z477" t="s">
        <v>3111</v>
      </c>
      <c r="AA477" s="299">
        <v>19600</v>
      </c>
    </row>
    <row r="478" spans="17:27" ht="13.8">
      <c r="Q478" s="296">
        <f t="shared" si="7"/>
        <v>472</v>
      </c>
      <c r="R478" s="297" t="s">
        <v>2304</v>
      </c>
      <c r="S478" s="297" t="s">
        <v>2305</v>
      </c>
      <c r="T478" s="298" t="s">
        <v>1126</v>
      </c>
      <c r="U478" s="296" t="s">
        <v>2306</v>
      </c>
      <c r="V478" s="296" t="s">
        <v>2795</v>
      </c>
      <c r="W478" s="297" t="s">
        <v>2795</v>
      </c>
      <c r="X478" s="239" t="s">
        <v>3089</v>
      </c>
      <c r="Y478" s="239" t="s">
        <v>3124</v>
      </c>
      <c r="Z478" t="s">
        <v>3113</v>
      </c>
      <c r="AA478" s="299">
        <v>8163</v>
      </c>
    </row>
    <row r="479" spans="17:27" ht="13.8">
      <c r="Q479" s="296">
        <f t="shared" si="7"/>
        <v>473</v>
      </c>
      <c r="R479" s="297" t="s">
        <v>2307</v>
      </c>
      <c r="S479" s="297" t="s">
        <v>2308</v>
      </c>
      <c r="T479" s="298" t="s">
        <v>900</v>
      </c>
      <c r="U479" s="296" t="s">
        <v>2309</v>
      </c>
      <c r="V479" s="296" t="s">
        <v>2796</v>
      </c>
      <c r="W479" s="297" t="s">
        <v>2796</v>
      </c>
      <c r="X479" s="239" t="s">
        <v>3089</v>
      </c>
      <c r="Y479" s="239" t="s">
        <v>3124</v>
      </c>
      <c r="Z479" t="s">
        <v>3105</v>
      </c>
      <c r="AA479" s="299">
        <v>2789</v>
      </c>
    </row>
    <row r="480" spans="17:27" ht="13.8">
      <c r="Q480" s="296">
        <f t="shared" si="7"/>
        <v>474</v>
      </c>
      <c r="R480" s="297" t="s">
        <v>2310</v>
      </c>
      <c r="S480" s="297" t="s">
        <v>2311</v>
      </c>
      <c r="T480" s="298" t="s">
        <v>900</v>
      </c>
      <c r="U480" s="296" t="s">
        <v>2312</v>
      </c>
      <c r="V480" s="296" t="s">
        <v>2797</v>
      </c>
      <c r="W480" s="297" t="s">
        <v>2797</v>
      </c>
      <c r="X480" s="239" t="s">
        <v>3089</v>
      </c>
      <c r="Y480" s="239" t="s">
        <v>3124</v>
      </c>
      <c r="Z480" t="s">
        <v>3105</v>
      </c>
      <c r="AA480" s="299">
        <v>4890</v>
      </c>
    </row>
    <row r="481" spans="17:27" ht="13.8">
      <c r="Q481" s="296">
        <f t="shared" si="7"/>
        <v>475</v>
      </c>
      <c r="R481" s="297" t="s">
        <v>2313</v>
      </c>
      <c r="S481" s="297" t="s">
        <v>2314</v>
      </c>
      <c r="T481" s="298" t="s">
        <v>969</v>
      </c>
      <c r="U481" s="296" t="s">
        <v>2315</v>
      </c>
      <c r="V481" s="296" t="s">
        <v>2314</v>
      </c>
      <c r="W481" s="297" t="s">
        <v>2996</v>
      </c>
      <c r="X481" s="239" t="s">
        <v>3088</v>
      </c>
      <c r="Y481" s="239" t="s">
        <v>3124</v>
      </c>
      <c r="Z481" t="s">
        <v>3111</v>
      </c>
      <c r="AA481" s="299">
        <v>3245</v>
      </c>
    </row>
    <row r="482" spans="17:27" ht="13.8">
      <c r="Q482" s="296">
        <f t="shared" si="7"/>
        <v>476</v>
      </c>
      <c r="R482" s="297" t="s">
        <v>2316</v>
      </c>
      <c r="S482" s="297" t="s">
        <v>2314</v>
      </c>
      <c r="T482" s="298" t="s">
        <v>1006</v>
      </c>
      <c r="U482" s="296" t="s">
        <v>2317</v>
      </c>
      <c r="V482" s="296" t="s">
        <v>2314</v>
      </c>
      <c r="W482" s="297" t="s">
        <v>2996</v>
      </c>
      <c r="X482" s="239" t="s">
        <v>3088</v>
      </c>
      <c r="Y482" s="239" t="s">
        <v>3125</v>
      </c>
      <c r="Z482" t="s">
        <v>3110</v>
      </c>
      <c r="AA482" s="299">
        <v>17178</v>
      </c>
    </row>
    <row r="483" spans="17:27" ht="13.8">
      <c r="Q483" s="296">
        <f t="shared" si="7"/>
        <v>477</v>
      </c>
      <c r="R483" s="297" t="s">
        <v>2318</v>
      </c>
      <c r="S483" s="297" t="s">
        <v>2319</v>
      </c>
      <c r="T483" s="298" t="s">
        <v>959</v>
      </c>
      <c r="U483" s="296" t="s">
        <v>2320</v>
      </c>
      <c r="V483" s="296" t="s">
        <v>2319</v>
      </c>
      <c r="W483" s="297" t="s">
        <v>2997</v>
      </c>
      <c r="X483" s="239" t="s">
        <v>3088</v>
      </c>
      <c r="Y483" s="239" t="s">
        <v>3124</v>
      </c>
      <c r="Z483" t="s">
        <v>3105</v>
      </c>
      <c r="AA483" s="299">
        <v>28617</v>
      </c>
    </row>
    <row r="484" spans="17:27" ht="13.8">
      <c r="Q484" s="296">
        <f t="shared" si="7"/>
        <v>478</v>
      </c>
      <c r="R484" s="297" t="s">
        <v>2321</v>
      </c>
      <c r="S484" s="297" t="s">
        <v>2322</v>
      </c>
      <c r="T484" s="298" t="s">
        <v>929</v>
      </c>
      <c r="U484" s="296" t="s">
        <v>2323</v>
      </c>
      <c r="V484" s="296" t="s">
        <v>2798</v>
      </c>
      <c r="W484" s="297" t="s">
        <v>2798</v>
      </c>
      <c r="X484" s="239" t="s">
        <v>3089</v>
      </c>
      <c r="Y484" s="239" t="s">
        <v>3124</v>
      </c>
      <c r="Z484" t="s">
        <v>3105</v>
      </c>
      <c r="AA484" s="299">
        <v>3526</v>
      </c>
    </row>
    <row r="485" spans="17:27" ht="13.8">
      <c r="Q485" s="296">
        <f t="shared" si="7"/>
        <v>479</v>
      </c>
      <c r="R485" s="297" t="s">
        <v>2324</v>
      </c>
      <c r="S485" s="297" t="s">
        <v>2325</v>
      </c>
      <c r="T485" s="298" t="s">
        <v>929</v>
      </c>
      <c r="U485" s="296" t="s">
        <v>2326</v>
      </c>
      <c r="V485" s="296" t="s">
        <v>2325</v>
      </c>
      <c r="W485" s="297" t="s">
        <v>2998</v>
      </c>
      <c r="X485" s="239" t="s">
        <v>3088</v>
      </c>
      <c r="Y485" s="239" t="s">
        <v>3125</v>
      </c>
      <c r="Z485" t="s">
        <v>3110</v>
      </c>
      <c r="AA485" s="299">
        <v>4004</v>
      </c>
    </row>
    <row r="486" spans="17:27" ht="13.8">
      <c r="Q486" s="296">
        <f t="shared" si="7"/>
        <v>480</v>
      </c>
      <c r="R486" s="297" t="s">
        <v>2327</v>
      </c>
      <c r="S486" s="297" t="s">
        <v>2328</v>
      </c>
      <c r="T486" s="298" t="s">
        <v>1025</v>
      </c>
      <c r="U486" s="296" t="s">
        <v>2329</v>
      </c>
      <c r="V486" s="296" t="s">
        <v>2799</v>
      </c>
      <c r="W486" s="297" t="s">
        <v>2799</v>
      </c>
      <c r="X486" s="239" t="s">
        <v>3089</v>
      </c>
      <c r="Y486" s="239" t="s">
        <v>3124</v>
      </c>
      <c r="Z486" t="s">
        <v>3105</v>
      </c>
      <c r="AA486" s="299">
        <v>495</v>
      </c>
    </row>
    <row r="487" spans="17:27" ht="13.8">
      <c r="Q487" s="296">
        <f t="shared" si="7"/>
        <v>481</v>
      </c>
      <c r="R487" s="297" t="s">
        <v>2330</v>
      </c>
      <c r="S487" s="297" t="s">
        <v>2331</v>
      </c>
      <c r="T487" s="298" t="s">
        <v>952</v>
      </c>
      <c r="U487" s="296" t="s">
        <v>2332</v>
      </c>
      <c r="V487" s="296" t="s">
        <v>2800</v>
      </c>
      <c r="W487" s="297" t="s">
        <v>2800</v>
      </c>
      <c r="X487" s="239" t="s">
        <v>3089</v>
      </c>
      <c r="Y487" s="239" t="s">
        <v>3124</v>
      </c>
      <c r="Z487" t="s">
        <v>3105</v>
      </c>
      <c r="AA487" s="299">
        <v>796</v>
      </c>
    </row>
    <row r="488" spans="17:27" ht="13.8">
      <c r="Q488" s="296">
        <f t="shared" si="7"/>
        <v>482</v>
      </c>
      <c r="R488" s="297" t="s">
        <v>2333</v>
      </c>
      <c r="S488" s="297" t="s">
        <v>2334</v>
      </c>
      <c r="T488" s="298" t="s">
        <v>1073</v>
      </c>
      <c r="U488" s="296" t="s">
        <v>2335</v>
      </c>
      <c r="V488" s="296" t="s">
        <v>2334</v>
      </c>
      <c r="W488" s="297" t="s">
        <v>2999</v>
      </c>
      <c r="X488" s="239" t="s">
        <v>3088</v>
      </c>
      <c r="Y488" s="239" t="s">
        <v>3125</v>
      </c>
      <c r="Z488" t="s">
        <v>3107</v>
      </c>
      <c r="AA488" s="299">
        <v>1312</v>
      </c>
    </row>
    <row r="489" spans="17:27" ht="13.8">
      <c r="Q489" s="296">
        <f t="shared" si="7"/>
        <v>483</v>
      </c>
      <c r="R489" s="297" t="s">
        <v>2336</v>
      </c>
      <c r="S489" s="297" t="s">
        <v>2337</v>
      </c>
      <c r="T489" s="298" t="s">
        <v>945</v>
      </c>
      <c r="U489" s="296" t="s">
        <v>2338</v>
      </c>
      <c r="V489" s="296" t="s">
        <v>2801</v>
      </c>
      <c r="W489" s="297" t="s">
        <v>2801</v>
      </c>
      <c r="X489" s="239" t="s">
        <v>3089</v>
      </c>
      <c r="Y489" s="239" t="s">
        <v>3124</v>
      </c>
      <c r="Z489" t="s">
        <v>3105</v>
      </c>
      <c r="AA489" s="299">
        <v>6981</v>
      </c>
    </row>
    <row r="490" spans="17:27" ht="13.8">
      <c r="Q490" s="296">
        <f t="shared" si="7"/>
        <v>484</v>
      </c>
      <c r="R490" s="297" t="s">
        <v>2339</v>
      </c>
      <c r="S490" s="297" t="s">
        <v>2340</v>
      </c>
      <c r="T490" s="298" t="s">
        <v>1006</v>
      </c>
      <c r="U490" s="296" t="s">
        <v>2341</v>
      </c>
      <c r="V490" s="296" t="s">
        <v>3065</v>
      </c>
      <c r="W490" s="297" t="s">
        <v>3065</v>
      </c>
      <c r="X490" s="239" t="s">
        <v>3090</v>
      </c>
      <c r="Y490" s="239" t="s">
        <v>3124</v>
      </c>
      <c r="Z490" t="s">
        <v>3106</v>
      </c>
      <c r="AA490" s="299">
        <v>22719</v>
      </c>
    </row>
    <row r="491" spans="17:27" ht="13.8">
      <c r="Q491" s="296">
        <f t="shared" si="7"/>
        <v>485</v>
      </c>
      <c r="R491" s="297" t="s">
        <v>2342</v>
      </c>
      <c r="S491" s="297" t="s">
        <v>2343</v>
      </c>
      <c r="T491" s="298" t="s">
        <v>959</v>
      </c>
      <c r="U491" s="296" t="s">
        <v>2344</v>
      </c>
      <c r="V491" s="296" t="s">
        <v>2802</v>
      </c>
      <c r="W491" s="297" t="s">
        <v>3066</v>
      </c>
      <c r="X491" s="239" t="s">
        <v>3089</v>
      </c>
      <c r="Y491" s="239" t="s">
        <v>3124</v>
      </c>
      <c r="Z491" t="s">
        <v>3105</v>
      </c>
      <c r="AA491" s="299">
        <v>1243</v>
      </c>
    </row>
    <row r="492" spans="17:27" ht="13.8">
      <c r="Q492" s="296">
        <f t="shared" si="7"/>
        <v>486</v>
      </c>
      <c r="R492" s="297" t="s">
        <v>2345</v>
      </c>
      <c r="S492" s="297" t="s">
        <v>2346</v>
      </c>
      <c r="T492" s="298" t="s">
        <v>929</v>
      </c>
      <c r="U492" s="296" t="s">
        <v>2347</v>
      </c>
      <c r="V492" s="296" t="s">
        <v>929</v>
      </c>
      <c r="W492" s="297" t="s">
        <v>929</v>
      </c>
      <c r="X492" s="239" t="s">
        <v>3089</v>
      </c>
      <c r="Y492" s="239" t="s">
        <v>3124</v>
      </c>
      <c r="Z492" t="s">
        <v>3105</v>
      </c>
      <c r="AA492" s="299">
        <v>2024</v>
      </c>
    </row>
    <row r="493" spans="17:27" ht="13.8">
      <c r="Q493" s="296">
        <f t="shared" si="7"/>
        <v>487</v>
      </c>
      <c r="R493" s="297" t="s">
        <v>2348</v>
      </c>
      <c r="S493" s="297" t="s">
        <v>2349</v>
      </c>
      <c r="T493" s="298" t="s">
        <v>1160</v>
      </c>
      <c r="U493" s="296" t="s">
        <v>2350</v>
      </c>
      <c r="V493" s="296" t="s">
        <v>2803</v>
      </c>
      <c r="W493" s="297" t="s">
        <v>2803</v>
      </c>
      <c r="X493" s="239" t="s">
        <v>3089</v>
      </c>
      <c r="Y493" s="239" t="s">
        <v>3124</v>
      </c>
      <c r="Z493" t="s">
        <v>3105</v>
      </c>
      <c r="AA493" s="299">
        <v>2711</v>
      </c>
    </row>
    <row r="494" spans="17:27" ht="13.8">
      <c r="Q494" s="296">
        <f t="shared" si="7"/>
        <v>488</v>
      </c>
      <c r="R494" s="297" t="s">
        <v>2351</v>
      </c>
      <c r="S494" s="297" t="s">
        <v>2352</v>
      </c>
      <c r="T494" s="298" t="s">
        <v>969</v>
      </c>
      <c r="U494" s="296" t="s">
        <v>2353</v>
      </c>
      <c r="V494" s="296" t="s">
        <v>2352</v>
      </c>
      <c r="W494" s="297" t="s">
        <v>3000</v>
      </c>
      <c r="X494" s="239" t="s">
        <v>3088</v>
      </c>
      <c r="Y494" s="239" t="s">
        <v>3125</v>
      </c>
      <c r="Z494" t="s">
        <v>3110</v>
      </c>
      <c r="AA494" s="299">
        <v>6776</v>
      </c>
    </row>
    <row r="495" spans="17:27" ht="13.8">
      <c r="Q495" s="296">
        <f t="shared" si="7"/>
        <v>489</v>
      </c>
      <c r="R495" s="297" t="s">
        <v>2354</v>
      </c>
      <c r="S495" s="297" t="s">
        <v>2355</v>
      </c>
      <c r="T495" s="298" t="s">
        <v>945</v>
      </c>
      <c r="U495" s="296" t="s">
        <v>2356</v>
      </c>
      <c r="V495" s="296" t="s">
        <v>2804</v>
      </c>
      <c r="W495" s="297" t="s">
        <v>2804</v>
      </c>
      <c r="X495" s="239" t="s">
        <v>3089</v>
      </c>
      <c r="Y495" s="239" t="s">
        <v>3126</v>
      </c>
      <c r="Z495" t="s">
        <v>3109</v>
      </c>
      <c r="AA495" s="299">
        <v>9</v>
      </c>
    </row>
    <row r="496" spans="17:27" ht="13.8">
      <c r="Q496" s="296">
        <f t="shared" si="7"/>
        <v>490</v>
      </c>
      <c r="R496" s="297" t="s">
        <v>2357</v>
      </c>
      <c r="S496" s="297" t="s">
        <v>2358</v>
      </c>
      <c r="T496" s="298" t="s">
        <v>908</v>
      </c>
      <c r="U496" s="296" t="s">
        <v>2359</v>
      </c>
      <c r="V496" s="296" t="s">
        <v>2358</v>
      </c>
      <c r="W496" s="297" t="s">
        <v>3001</v>
      </c>
      <c r="X496" s="239" t="s">
        <v>3088</v>
      </c>
      <c r="Y496" s="239" t="s">
        <v>3124</v>
      </c>
      <c r="Z496" t="s">
        <v>3114</v>
      </c>
      <c r="AA496" s="299">
        <v>41246</v>
      </c>
    </row>
    <row r="497" spans="17:27" ht="13.8">
      <c r="Q497" s="296">
        <f t="shared" si="7"/>
        <v>491</v>
      </c>
      <c r="R497" s="297" t="s">
        <v>2360</v>
      </c>
      <c r="S497" s="297" t="s">
        <v>2361</v>
      </c>
      <c r="T497" s="298" t="s">
        <v>908</v>
      </c>
      <c r="U497" s="296" t="s">
        <v>2362</v>
      </c>
      <c r="V497" s="296" t="s">
        <v>2805</v>
      </c>
      <c r="W497" s="297" t="s">
        <v>2805</v>
      </c>
      <c r="X497" s="239" t="s">
        <v>3089</v>
      </c>
      <c r="Y497" s="239" t="s">
        <v>3124</v>
      </c>
      <c r="Z497" t="s">
        <v>3105</v>
      </c>
      <c r="AA497" s="299">
        <v>15409</v>
      </c>
    </row>
    <row r="498" spans="17:27" ht="13.8">
      <c r="Q498" s="296">
        <f t="shared" si="7"/>
        <v>492</v>
      </c>
      <c r="R498" s="297" t="s">
        <v>2363</v>
      </c>
      <c r="S498" s="297" t="s">
        <v>2364</v>
      </c>
      <c r="T498" s="298" t="s">
        <v>908</v>
      </c>
      <c r="U498" s="296" t="s">
        <v>2365</v>
      </c>
      <c r="V498" s="296" t="s">
        <v>2806</v>
      </c>
      <c r="W498" s="297" t="s">
        <v>2806</v>
      </c>
      <c r="X498" s="239" t="s">
        <v>3089</v>
      </c>
      <c r="Y498" s="239" t="s">
        <v>3124</v>
      </c>
      <c r="Z498" t="s">
        <v>3111</v>
      </c>
      <c r="AA498" s="299">
        <v>61</v>
      </c>
    </row>
    <row r="499" spans="17:27" ht="13.8">
      <c r="Q499" s="296">
        <f t="shared" si="7"/>
        <v>493</v>
      </c>
      <c r="R499" s="297" t="s">
        <v>2366</v>
      </c>
      <c r="S499" s="297" t="s">
        <v>2367</v>
      </c>
      <c r="T499" s="298" t="s">
        <v>1025</v>
      </c>
      <c r="U499" s="296" t="s">
        <v>2368</v>
      </c>
      <c r="V499" s="296" t="s">
        <v>2367</v>
      </c>
      <c r="W499" s="297" t="s">
        <v>3002</v>
      </c>
      <c r="X499" s="239" t="s">
        <v>3088</v>
      </c>
      <c r="Y499" s="239" t="s">
        <v>3125</v>
      </c>
      <c r="Z499" t="s">
        <v>3110</v>
      </c>
      <c r="AA499" s="299">
        <v>5870</v>
      </c>
    </row>
    <row r="500" spans="17:27" ht="13.8">
      <c r="Q500" s="296">
        <f t="shared" si="7"/>
        <v>494</v>
      </c>
      <c r="R500" s="297" t="s">
        <v>2369</v>
      </c>
      <c r="S500" s="297" t="s">
        <v>2370</v>
      </c>
      <c r="T500" s="298" t="s">
        <v>900</v>
      </c>
      <c r="U500" s="296" t="s">
        <v>2371</v>
      </c>
      <c r="V500" s="296" t="s">
        <v>2807</v>
      </c>
      <c r="W500" s="297" t="s">
        <v>2807</v>
      </c>
      <c r="X500" s="239" t="s">
        <v>3089</v>
      </c>
      <c r="Y500" s="239" t="s">
        <v>3124</v>
      </c>
      <c r="Z500" t="s">
        <v>3113</v>
      </c>
      <c r="AA500" s="299">
        <v>19181</v>
      </c>
    </row>
    <row r="501" spans="17:27" ht="13.8">
      <c r="Q501" s="296">
        <f t="shared" si="7"/>
        <v>495</v>
      </c>
      <c r="R501" s="297" t="s">
        <v>2372</v>
      </c>
      <c r="S501" s="297" t="s">
        <v>2373</v>
      </c>
      <c r="T501" s="298" t="s">
        <v>959</v>
      </c>
      <c r="U501" s="296" t="s">
        <v>2374</v>
      </c>
      <c r="V501" s="296" t="s">
        <v>2373</v>
      </c>
      <c r="W501" s="297" t="s">
        <v>3003</v>
      </c>
      <c r="X501" s="239" t="s">
        <v>3088</v>
      </c>
      <c r="Y501" s="239" t="s">
        <v>3124</v>
      </c>
      <c r="Z501" t="s">
        <v>3106</v>
      </c>
      <c r="AA501" s="299">
        <v>95438</v>
      </c>
    </row>
    <row r="502" spans="17:27" ht="13.8">
      <c r="Q502" s="296">
        <f t="shared" si="7"/>
        <v>496</v>
      </c>
      <c r="R502" s="297" t="s">
        <v>2375</v>
      </c>
      <c r="S502" s="297" t="s">
        <v>2376</v>
      </c>
      <c r="T502" s="298" t="s">
        <v>1038</v>
      </c>
      <c r="U502" s="296" t="s">
        <v>2377</v>
      </c>
      <c r="V502" s="296" t="s">
        <v>2808</v>
      </c>
      <c r="W502" s="297" t="s">
        <v>2808</v>
      </c>
      <c r="X502" s="239" t="s">
        <v>3089</v>
      </c>
      <c r="Y502" s="239" t="s">
        <v>3124</v>
      </c>
      <c r="Z502" t="s">
        <v>3105</v>
      </c>
      <c r="AA502" s="299">
        <v>11065</v>
      </c>
    </row>
    <row r="503" spans="17:27" ht="13.8">
      <c r="Q503" s="296">
        <f t="shared" si="7"/>
        <v>497</v>
      </c>
      <c r="R503" s="297" t="s">
        <v>2378</v>
      </c>
      <c r="S503" s="297" t="s">
        <v>2379</v>
      </c>
      <c r="T503" s="298" t="s">
        <v>1266</v>
      </c>
      <c r="U503" s="296" t="s">
        <v>2380</v>
      </c>
      <c r="V503" s="296" t="s">
        <v>3067</v>
      </c>
      <c r="W503" s="297" t="s">
        <v>3067</v>
      </c>
      <c r="X503" s="239" t="s">
        <v>3090</v>
      </c>
      <c r="Y503" s="239" t="s">
        <v>3124</v>
      </c>
      <c r="Z503" t="s">
        <v>3106</v>
      </c>
      <c r="AA503" s="299">
        <v>90871</v>
      </c>
    </row>
    <row r="504" spans="17:27" ht="13.8">
      <c r="Q504" s="296">
        <f t="shared" si="7"/>
        <v>498</v>
      </c>
      <c r="R504" s="297" t="s">
        <v>2381</v>
      </c>
      <c r="S504" s="297" t="s">
        <v>2382</v>
      </c>
      <c r="T504" s="298" t="s">
        <v>959</v>
      </c>
      <c r="U504" s="296" t="s">
        <v>2383</v>
      </c>
      <c r="V504" s="296" t="s">
        <v>2809</v>
      </c>
      <c r="W504" s="297" t="s">
        <v>2809</v>
      </c>
      <c r="X504" s="239" t="s">
        <v>3089</v>
      </c>
      <c r="Y504" s="239" t="s">
        <v>3124</v>
      </c>
      <c r="Z504" t="s">
        <v>3105</v>
      </c>
      <c r="AA504" s="299">
        <v>3577</v>
      </c>
    </row>
    <row r="505" spans="17:27" ht="13.8">
      <c r="Q505" s="296">
        <f t="shared" si="7"/>
        <v>499</v>
      </c>
      <c r="R505" s="297" t="s">
        <v>2384</v>
      </c>
      <c r="S505" s="297" t="s">
        <v>2385</v>
      </c>
      <c r="T505" s="298" t="s">
        <v>900</v>
      </c>
      <c r="U505" s="296" t="s">
        <v>2386</v>
      </c>
      <c r="V505" s="296" t="s">
        <v>2810</v>
      </c>
      <c r="W505" s="297" t="s">
        <v>2810</v>
      </c>
      <c r="X505" s="239" t="s">
        <v>3089</v>
      </c>
      <c r="Y505" s="239" t="s">
        <v>3124</v>
      </c>
      <c r="Z505" t="s">
        <v>3105</v>
      </c>
      <c r="AA505" s="299">
        <v>5723</v>
      </c>
    </row>
    <row r="506" spans="17:27" ht="13.8">
      <c r="Q506" s="296">
        <f t="shared" si="7"/>
        <v>500</v>
      </c>
      <c r="R506" s="297" t="s">
        <v>2387</v>
      </c>
      <c r="S506" s="297" t="s">
        <v>2388</v>
      </c>
      <c r="T506" s="298" t="s">
        <v>976</v>
      </c>
      <c r="U506" s="296" t="s">
        <v>2389</v>
      </c>
      <c r="V506" s="296" t="s">
        <v>3087</v>
      </c>
      <c r="W506" s="297" t="s">
        <v>3087</v>
      </c>
      <c r="X506" s="239" t="s">
        <v>3090</v>
      </c>
      <c r="Y506" s="239" t="s">
        <v>3126</v>
      </c>
      <c r="Z506" t="s">
        <v>3120</v>
      </c>
      <c r="AA506" s="299">
        <v>68589</v>
      </c>
    </row>
    <row r="507" spans="17:27" ht="13.8">
      <c r="Q507" s="296">
        <f t="shared" si="7"/>
        <v>501</v>
      </c>
      <c r="R507" s="297" t="s">
        <v>2390</v>
      </c>
      <c r="S507" s="297" t="s">
        <v>2391</v>
      </c>
      <c r="T507" s="298" t="s">
        <v>1025</v>
      </c>
      <c r="U507" s="296" t="s">
        <v>2392</v>
      </c>
      <c r="V507" s="296" t="s">
        <v>2391</v>
      </c>
      <c r="W507" s="297" t="s">
        <v>1006</v>
      </c>
      <c r="X507" s="239" t="s">
        <v>3088</v>
      </c>
      <c r="Y507" s="239" t="s">
        <v>3125</v>
      </c>
      <c r="Z507" t="s">
        <v>3110</v>
      </c>
      <c r="AA507" s="299">
        <v>6507</v>
      </c>
    </row>
    <row r="508" spans="17:27" ht="13.8">
      <c r="Q508" s="296">
        <f t="shared" si="7"/>
        <v>502</v>
      </c>
      <c r="R508" s="297" t="s">
        <v>2393</v>
      </c>
      <c r="S508" s="297" t="s">
        <v>2391</v>
      </c>
      <c r="T508" s="298" t="s">
        <v>1006</v>
      </c>
      <c r="U508" s="296" t="s">
        <v>2394</v>
      </c>
      <c r="V508" s="296" t="s">
        <v>2391</v>
      </c>
      <c r="W508" s="297" t="s">
        <v>1006</v>
      </c>
      <c r="X508" s="239" t="s">
        <v>3088</v>
      </c>
      <c r="Y508" s="239" t="s">
        <v>3125</v>
      </c>
      <c r="Z508" t="s">
        <v>3110</v>
      </c>
      <c r="AA508" s="299">
        <v>59728</v>
      </c>
    </row>
    <row r="509" spans="17:27" ht="13.8">
      <c r="Q509" s="296">
        <f t="shared" si="7"/>
        <v>503</v>
      </c>
      <c r="R509" s="297" t="s">
        <v>2395</v>
      </c>
      <c r="S509" s="297" t="s">
        <v>2396</v>
      </c>
      <c r="T509" s="298" t="s">
        <v>1073</v>
      </c>
      <c r="U509" s="296" t="s">
        <v>2397</v>
      </c>
      <c r="V509" s="296" t="s">
        <v>2396</v>
      </c>
      <c r="W509" s="297" t="s">
        <v>3004</v>
      </c>
      <c r="X509" s="239" t="s">
        <v>3088</v>
      </c>
      <c r="Y509" s="239" t="s">
        <v>3125</v>
      </c>
      <c r="Z509" t="s">
        <v>3110</v>
      </c>
      <c r="AA509" s="299">
        <v>7645</v>
      </c>
    </row>
    <row r="510" spans="17:27" ht="13.8">
      <c r="Q510" s="296">
        <f t="shared" si="7"/>
        <v>504</v>
      </c>
      <c r="R510" s="297" t="s">
        <v>2398</v>
      </c>
      <c r="S510" s="297" t="s">
        <v>2399</v>
      </c>
      <c r="T510" s="298" t="s">
        <v>900</v>
      </c>
      <c r="U510" s="296" t="s">
        <v>2400</v>
      </c>
      <c r="V510" s="296" t="s">
        <v>2399</v>
      </c>
      <c r="W510" s="297" t="s">
        <v>3005</v>
      </c>
      <c r="X510" s="239" t="s">
        <v>3088</v>
      </c>
      <c r="Y510" s="239" t="s">
        <v>3125</v>
      </c>
      <c r="Z510" t="s">
        <v>3110</v>
      </c>
      <c r="AA510" s="299">
        <v>7273</v>
      </c>
    </row>
    <row r="511" spans="17:27" ht="13.8">
      <c r="Q511" s="296">
        <f t="shared" si="7"/>
        <v>505</v>
      </c>
      <c r="R511" s="297" t="s">
        <v>2401</v>
      </c>
      <c r="S511" s="297" t="s">
        <v>2402</v>
      </c>
      <c r="T511" s="298" t="s">
        <v>918</v>
      </c>
      <c r="U511" s="296" t="s">
        <v>2403</v>
      </c>
      <c r="V511" s="296" t="s">
        <v>2402</v>
      </c>
      <c r="W511" s="297" t="s">
        <v>3006</v>
      </c>
      <c r="X511" s="239" t="s">
        <v>3088</v>
      </c>
      <c r="Y511" s="239" t="s">
        <v>3125</v>
      </c>
      <c r="Z511" t="s">
        <v>3110</v>
      </c>
      <c r="AA511" s="299">
        <v>3432</v>
      </c>
    </row>
    <row r="512" spans="17:27" ht="13.8">
      <c r="Q512" s="296">
        <f t="shared" si="7"/>
        <v>506</v>
      </c>
      <c r="R512" s="297" t="s">
        <v>2404</v>
      </c>
      <c r="S512" s="297" t="s">
        <v>2405</v>
      </c>
      <c r="T512" s="298" t="s">
        <v>908</v>
      </c>
      <c r="U512" s="296" t="s">
        <v>2406</v>
      </c>
      <c r="V512" s="296" t="s">
        <v>2811</v>
      </c>
      <c r="W512" s="297" t="s">
        <v>2811</v>
      </c>
      <c r="X512" s="239" t="s">
        <v>3089</v>
      </c>
      <c r="Y512" s="239" t="s">
        <v>3124</v>
      </c>
      <c r="Z512" t="s">
        <v>3105</v>
      </c>
      <c r="AA512" s="299">
        <v>8353</v>
      </c>
    </row>
    <row r="513" spans="17:27" ht="13.8">
      <c r="Q513" s="296">
        <f t="shared" si="7"/>
        <v>507</v>
      </c>
      <c r="R513" s="297" t="s">
        <v>2407</v>
      </c>
      <c r="S513" s="297" t="s">
        <v>2408</v>
      </c>
      <c r="T513" s="298" t="s">
        <v>952</v>
      </c>
      <c r="U513" s="296" t="s">
        <v>2409</v>
      </c>
      <c r="V513" s="296" t="s">
        <v>2408</v>
      </c>
      <c r="W513" s="297" t="s">
        <v>3007</v>
      </c>
      <c r="X513" s="239" t="s">
        <v>3088</v>
      </c>
      <c r="Y513" s="239" t="s">
        <v>3125</v>
      </c>
      <c r="Z513" t="s">
        <v>3110</v>
      </c>
      <c r="AA513" s="299">
        <v>12539</v>
      </c>
    </row>
    <row r="514" spans="17:27" ht="13.8">
      <c r="Q514" s="296">
        <f t="shared" si="7"/>
        <v>508</v>
      </c>
      <c r="R514" s="297" t="s">
        <v>2410</v>
      </c>
      <c r="S514" s="297" t="s">
        <v>2411</v>
      </c>
      <c r="T514" s="298" t="s">
        <v>904</v>
      </c>
      <c r="U514" s="296" t="s">
        <v>2412</v>
      </c>
      <c r="V514" s="296" t="s">
        <v>2411</v>
      </c>
      <c r="W514" s="297" t="s">
        <v>2411</v>
      </c>
      <c r="X514" s="239" t="s">
        <v>3090</v>
      </c>
      <c r="Y514" s="239" t="s">
        <v>3126</v>
      </c>
      <c r="Z514" t="s">
        <v>3109</v>
      </c>
      <c r="AA514" s="299">
        <v>9210</v>
      </c>
    </row>
    <row r="515" spans="17:27" ht="13.8">
      <c r="Q515" s="296">
        <f t="shared" si="7"/>
        <v>509</v>
      </c>
      <c r="R515" s="297" t="s">
        <v>2413</v>
      </c>
      <c r="S515" s="297" t="s">
        <v>2414</v>
      </c>
      <c r="T515" s="298" t="s">
        <v>929</v>
      </c>
      <c r="U515" s="296" t="s">
        <v>2415</v>
      </c>
      <c r="V515" s="296" t="s">
        <v>2414</v>
      </c>
      <c r="W515" s="297" t="s">
        <v>3008</v>
      </c>
      <c r="X515" s="239" t="s">
        <v>3088</v>
      </c>
      <c r="Y515" s="239" t="s">
        <v>3124</v>
      </c>
      <c r="Z515" t="s">
        <v>3111</v>
      </c>
      <c r="AA515" s="299">
        <v>22358</v>
      </c>
    </row>
    <row r="516" spans="17:27" ht="13.8">
      <c r="Q516" s="296">
        <f t="shared" si="7"/>
        <v>510</v>
      </c>
      <c r="R516" s="297" t="s">
        <v>2416</v>
      </c>
      <c r="S516" s="297" t="s">
        <v>2417</v>
      </c>
      <c r="T516" s="298" t="s">
        <v>990</v>
      </c>
      <c r="U516" s="296" t="s">
        <v>2418</v>
      </c>
      <c r="V516" s="296" t="s">
        <v>2417</v>
      </c>
      <c r="W516" s="297" t="s">
        <v>3009</v>
      </c>
      <c r="X516" s="239" t="s">
        <v>3088</v>
      </c>
      <c r="Y516" s="239" t="s">
        <v>3124</v>
      </c>
      <c r="Z516" t="s">
        <v>3111</v>
      </c>
      <c r="AA516" s="299">
        <v>14572</v>
      </c>
    </row>
    <row r="517" spans="17:27" ht="13.8">
      <c r="Q517" s="296">
        <f t="shared" si="7"/>
        <v>511</v>
      </c>
      <c r="R517" s="297" t="s">
        <v>2419</v>
      </c>
      <c r="S517" s="297" t="s">
        <v>2420</v>
      </c>
      <c r="T517" s="298" t="s">
        <v>1048</v>
      </c>
      <c r="U517" s="296" t="s">
        <v>2421</v>
      </c>
      <c r="V517" s="296" t="s">
        <v>2812</v>
      </c>
      <c r="W517" s="297" t="s">
        <v>2812</v>
      </c>
      <c r="X517" s="239" t="s">
        <v>3089</v>
      </c>
      <c r="Y517" s="239" t="s">
        <v>3124</v>
      </c>
      <c r="Z517" t="s">
        <v>3105</v>
      </c>
      <c r="AA517" s="299">
        <v>1582</v>
      </c>
    </row>
    <row r="518" spans="17:27" ht="13.8">
      <c r="Q518" s="296">
        <f t="shared" si="7"/>
        <v>512</v>
      </c>
      <c r="R518" s="297" t="s">
        <v>2422</v>
      </c>
      <c r="S518" s="297" t="s">
        <v>2423</v>
      </c>
      <c r="T518" s="298" t="s">
        <v>1073</v>
      </c>
      <c r="U518" s="296" t="s">
        <v>2424</v>
      </c>
      <c r="V518" s="296" t="s">
        <v>3068</v>
      </c>
      <c r="W518" s="297" t="s">
        <v>3068</v>
      </c>
      <c r="X518" s="239" t="s">
        <v>3090</v>
      </c>
      <c r="Y518" s="239" t="s">
        <v>3124</v>
      </c>
      <c r="Z518" t="s">
        <v>3113</v>
      </c>
      <c r="AA518" s="299">
        <v>60780</v>
      </c>
    </row>
    <row r="519" spans="17:27" ht="13.8">
      <c r="Q519" s="296">
        <f t="shared" si="7"/>
        <v>513</v>
      </c>
      <c r="R519" s="297" t="s">
        <v>2425</v>
      </c>
      <c r="S519" s="297" t="s">
        <v>2426</v>
      </c>
      <c r="T519" s="298" t="s">
        <v>945</v>
      </c>
      <c r="U519" s="296" t="s">
        <v>2427</v>
      </c>
      <c r="V519" s="296" t="s">
        <v>2426</v>
      </c>
      <c r="W519" s="297" t="s">
        <v>3010</v>
      </c>
      <c r="X519" s="239" t="s">
        <v>3088</v>
      </c>
      <c r="Y519" s="239" t="s">
        <v>3125</v>
      </c>
      <c r="Z519" t="s">
        <v>3110</v>
      </c>
      <c r="AA519" s="299">
        <v>31069</v>
      </c>
    </row>
    <row r="520" spans="17:27" ht="13.8">
      <c r="Q520" s="296">
        <f t="shared" si="7"/>
        <v>514</v>
      </c>
      <c r="R520" s="297" t="s">
        <v>2428</v>
      </c>
      <c r="S520" s="297" t="s">
        <v>2429</v>
      </c>
      <c r="T520" s="298" t="s">
        <v>908</v>
      </c>
      <c r="U520" s="296" t="s">
        <v>2430</v>
      </c>
      <c r="V520" s="296" t="s">
        <v>2813</v>
      </c>
      <c r="W520" s="297" t="s">
        <v>2813</v>
      </c>
      <c r="X520" s="239" t="s">
        <v>3089</v>
      </c>
      <c r="Y520" s="239" t="s">
        <v>3124</v>
      </c>
      <c r="Z520" t="s">
        <v>3105</v>
      </c>
      <c r="AA520" s="299">
        <v>10058</v>
      </c>
    </row>
    <row r="521" spans="17:27" ht="13.8">
      <c r="Q521" s="296">
        <f t="shared" si="7"/>
        <v>515</v>
      </c>
      <c r="R521" s="297" t="s">
        <v>2431</v>
      </c>
      <c r="S521" s="297" t="s">
        <v>2432</v>
      </c>
      <c r="T521" s="298" t="s">
        <v>900</v>
      </c>
      <c r="U521" s="296" t="s">
        <v>2433</v>
      </c>
      <c r="V521" s="296" t="s">
        <v>2432</v>
      </c>
      <c r="W521" s="297" t="s">
        <v>3011</v>
      </c>
      <c r="X521" s="239" t="s">
        <v>3088</v>
      </c>
      <c r="Y521" s="239" t="s">
        <v>3125</v>
      </c>
      <c r="Z521" t="s">
        <v>3110</v>
      </c>
      <c r="AA521" s="299">
        <v>26525</v>
      </c>
    </row>
    <row r="522" spans="17:27" ht="13.8">
      <c r="Q522" s="296">
        <f t="shared" si="7"/>
        <v>516</v>
      </c>
      <c r="R522" s="297" t="s">
        <v>2434</v>
      </c>
      <c r="S522" s="297" t="s">
        <v>2435</v>
      </c>
      <c r="T522" s="298" t="s">
        <v>908</v>
      </c>
      <c r="U522" s="296" t="s">
        <v>2436</v>
      </c>
      <c r="V522" s="296" t="s">
        <v>2814</v>
      </c>
      <c r="W522" s="297" t="s">
        <v>2814</v>
      </c>
      <c r="X522" s="239" t="s">
        <v>3089</v>
      </c>
      <c r="Y522" s="239" t="s">
        <v>3124</v>
      </c>
      <c r="Z522" t="s">
        <v>3105</v>
      </c>
      <c r="AA522" s="299">
        <v>11868</v>
      </c>
    </row>
    <row r="523" spans="17:27" ht="13.8">
      <c r="Q523" s="296">
        <f t="shared" ref="Q523:Q586" si="8">Q522+1</f>
        <v>517</v>
      </c>
      <c r="R523" s="297" t="s">
        <v>2437</v>
      </c>
      <c r="S523" s="297" t="s">
        <v>2438</v>
      </c>
      <c r="T523" s="298" t="s">
        <v>929</v>
      </c>
      <c r="U523" s="296" t="s">
        <v>2439</v>
      </c>
      <c r="V523" s="296" t="s">
        <v>2438</v>
      </c>
      <c r="W523" s="297" t="s">
        <v>3012</v>
      </c>
      <c r="X523" s="239" t="s">
        <v>3088</v>
      </c>
      <c r="Y523" s="239" t="s">
        <v>3125</v>
      </c>
      <c r="Z523" t="s">
        <v>3107</v>
      </c>
      <c r="AA523" s="299">
        <v>7</v>
      </c>
    </row>
    <row r="524" spans="17:27" ht="13.8">
      <c r="Q524" s="296">
        <f t="shared" si="8"/>
        <v>518</v>
      </c>
      <c r="R524" s="297" t="s">
        <v>2440</v>
      </c>
      <c r="S524" s="297" t="s">
        <v>2441</v>
      </c>
      <c r="T524" s="298" t="s">
        <v>1038</v>
      </c>
      <c r="U524" s="296" t="s">
        <v>2442</v>
      </c>
      <c r="V524" s="296" t="s">
        <v>2815</v>
      </c>
      <c r="W524" s="297" t="s">
        <v>2815</v>
      </c>
      <c r="X524" s="239" t="s">
        <v>3089</v>
      </c>
      <c r="Y524" s="239" t="s">
        <v>3124</v>
      </c>
      <c r="Z524" t="s">
        <v>3105</v>
      </c>
      <c r="AA524" s="299">
        <v>11317</v>
      </c>
    </row>
    <row r="525" spans="17:27" ht="13.8">
      <c r="Q525" s="296">
        <f t="shared" si="8"/>
        <v>519</v>
      </c>
      <c r="R525" s="297" t="s">
        <v>2443</v>
      </c>
      <c r="S525" s="297" t="s">
        <v>2444</v>
      </c>
      <c r="T525" s="298" t="s">
        <v>929</v>
      </c>
      <c r="U525" s="296" t="s">
        <v>2445</v>
      </c>
      <c r="V525" s="296" t="s">
        <v>2444</v>
      </c>
      <c r="W525" s="297" t="s">
        <v>3013</v>
      </c>
      <c r="X525" s="239" t="s">
        <v>3088</v>
      </c>
      <c r="Y525" s="239" t="s">
        <v>3125</v>
      </c>
      <c r="Z525" t="s">
        <v>3107</v>
      </c>
      <c r="AA525" s="299">
        <v>10811</v>
      </c>
    </row>
    <row r="526" spans="17:27" ht="13.8">
      <c r="Q526" s="296">
        <f t="shared" si="8"/>
        <v>520</v>
      </c>
      <c r="R526" s="297" t="s">
        <v>2446</v>
      </c>
      <c r="S526" s="297" t="s">
        <v>2447</v>
      </c>
      <c r="T526" s="298" t="s">
        <v>986</v>
      </c>
      <c r="U526" s="296" t="s">
        <v>2448</v>
      </c>
      <c r="V526" s="296" t="s">
        <v>2447</v>
      </c>
      <c r="W526" s="297" t="s">
        <v>922</v>
      </c>
      <c r="X526" s="239" t="s">
        <v>3088</v>
      </c>
      <c r="Y526" s="239" t="s">
        <v>3125</v>
      </c>
      <c r="Z526" t="s">
        <v>3110</v>
      </c>
      <c r="AA526" s="299">
        <v>15923</v>
      </c>
    </row>
    <row r="527" spans="17:27" ht="13.8">
      <c r="Q527" s="296">
        <f t="shared" si="8"/>
        <v>521</v>
      </c>
      <c r="R527" s="297" t="s">
        <v>2449</v>
      </c>
      <c r="S527" s="297" t="s">
        <v>2450</v>
      </c>
      <c r="T527" s="298" t="s">
        <v>922</v>
      </c>
      <c r="U527" s="296" t="s">
        <v>2451</v>
      </c>
      <c r="V527" s="296" t="s">
        <v>2816</v>
      </c>
      <c r="W527" s="297" t="s">
        <v>2816</v>
      </c>
      <c r="X527" s="239" t="s">
        <v>3089</v>
      </c>
      <c r="Y527" s="239" t="s">
        <v>3124</v>
      </c>
      <c r="Z527" t="s">
        <v>3105</v>
      </c>
      <c r="AA527" s="299">
        <v>7299</v>
      </c>
    </row>
    <row r="528" spans="17:27" ht="13.8">
      <c r="Q528" s="296">
        <f t="shared" si="8"/>
        <v>522</v>
      </c>
      <c r="R528" s="297" t="s">
        <v>2452</v>
      </c>
      <c r="S528" s="297" t="s">
        <v>2453</v>
      </c>
      <c r="T528" s="298" t="s">
        <v>908</v>
      </c>
      <c r="U528" s="296" t="s">
        <v>2454</v>
      </c>
      <c r="V528" s="296" t="s">
        <v>2453</v>
      </c>
      <c r="W528" s="297" t="s">
        <v>2816</v>
      </c>
      <c r="X528" s="239" t="s">
        <v>3088</v>
      </c>
      <c r="Y528" s="239" t="s">
        <v>3124</v>
      </c>
      <c r="Z528" t="s">
        <v>3113</v>
      </c>
      <c r="AA528" s="299">
        <v>9285</v>
      </c>
    </row>
    <row r="529" spans="17:27" ht="13.8">
      <c r="Q529" s="296">
        <f t="shared" si="8"/>
        <v>523</v>
      </c>
      <c r="R529" s="297" t="s">
        <v>2455</v>
      </c>
      <c r="S529" s="297" t="s">
        <v>2453</v>
      </c>
      <c r="T529" s="298" t="s">
        <v>969</v>
      </c>
      <c r="U529" s="296" t="s">
        <v>2456</v>
      </c>
      <c r="V529" s="296" t="s">
        <v>2453</v>
      </c>
      <c r="W529" s="297" t="s">
        <v>2816</v>
      </c>
      <c r="X529" s="239" t="s">
        <v>3088</v>
      </c>
      <c r="Y529" s="239" t="s">
        <v>3125</v>
      </c>
      <c r="Z529" t="s">
        <v>3107</v>
      </c>
      <c r="AA529" s="299">
        <v>693</v>
      </c>
    </row>
    <row r="530" spans="17:27" ht="13.8">
      <c r="Q530" s="296">
        <f t="shared" si="8"/>
        <v>524</v>
      </c>
      <c r="R530" s="297" t="s">
        <v>2457</v>
      </c>
      <c r="S530" s="297" t="s">
        <v>2453</v>
      </c>
      <c r="T530" s="298" t="s">
        <v>1160</v>
      </c>
      <c r="U530" s="296" t="s">
        <v>2458</v>
      </c>
      <c r="V530" s="296" t="s">
        <v>2453</v>
      </c>
      <c r="W530" s="297" t="s">
        <v>2816</v>
      </c>
      <c r="X530" s="239" t="s">
        <v>3088</v>
      </c>
      <c r="Y530" s="239" t="s">
        <v>3124</v>
      </c>
      <c r="Z530" t="s">
        <v>3113</v>
      </c>
      <c r="AA530" s="299">
        <v>48677</v>
      </c>
    </row>
    <row r="531" spans="17:27" ht="13.8">
      <c r="Q531" s="296">
        <f t="shared" si="8"/>
        <v>525</v>
      </c>
      <c r="R531" s="297" t="s">
        <v>2459</v>
      </c>
      <c r="S531" s="297" t="s">
        <v>2453</v>
      </c>
      <c r="T531" s="298" t="s">
        <v>1048</v>
      </c>
      <c r="U531" s="296" t="s">
        <v>2460</v>
      </c>
      <c r="V531" s="296" t="s">
        <v>2453</v>
      </c>
      <c r="W531" s="297" t="s">
        <v>2816</v>
      </c>
      <c r="X531" s="239" t="s">
        <v>3088</v>
      </c>
      <c r="Y531" s="239" t="s">
        <v>3125</v>
      </c>
      <c r="Z531" t="s">
        <v>3110</v>
      </c>
      <c r="AA531" s="299">
        <v>18197</v>
      </c>
    </row>
    <row r="532" spans="17:27" ht="13.8">
      <c r="Q532" s="296">
        <f t="shared" si="8"/>
        <v>526</v>
      </c>
      <c r="R532" s="297" t="s">
        <v>2461</v>
      </c>
      <c r="S532" s="297" t="s">
        <v>2453</v>
      </c>
      <c r="T532" s="298" t="s">
        <v>922</v>
      </c>
      <c r="U532" s="296" t="s">
        <v>2462</v>
      </c>
      <c r="V532" s="296" t="s">
        <v>2453</v>
      </c>
      <c r="W532" s="297" t="s">
        <v>2816</v>
      </c>
      <c r="X532" s="239" t="s">
        <v>3088</v>
      </c>
      <c r="Y532" s="239" t="s">
        <v>3125</v>
      </c>
      <c r="Z532" t="s">
        <v>3110</v>
      </c>
      <c r="AA532" s="299">
        <v>6492</v>
      </c>
    </row>
    <row r="533" spans="17:27" ht="13.8">
      <c r="Q533" s="296">
        <f t="shared" si="8"/>
        <v>527</v>
      </c>
      <c r="R533" s="297" t="s">
        <v>2463</v>
      </c>
      <c r="S533" s="297" t="s">
        <v>2464</v>
      </c>
      <c r="T533" s="298" t="s">
        <v>986</v>
      </c>
      <c r="U533" s="296" t="s">
        <v>2465</v>
      </c>
      <c r="V533" s="296" t="s">
        <v>2817</v>
      </c>
      <c r="W533" s="297" t="s">
        <v>2817</v>
      </c>
      <c r="X533" s="239" t="s">
        <v>3089</v>
      </c>
      <c r="Y533" s="239" t="s">
        <v>3124</v>
      </c>
      <c r="Z533" t="s">
        <v>3105</v>
      </c>
      <c r="AA533" s="299">
        <v>6449</v>
      </c>
    </row>
    <row r="534" spans="17:27" ht="13.8">
      <c r="Q534" s="296">
        <f t="shared" si="8"/>
        <v>528</v>
      </c>
      <c r="R534" s="297" t="s">
        <v>2466</v>
      </c>
      <c r="S534" s="297" t="s">
        <v>2467</v>
      </c>
      <c r="T534" s="298" t="s">
        <v>945</v>
      </c>
      <c r="U534" s="296" t="s">
        <v>2468</v>
      </c>
      <c r="V534" s="296" t="s">
        <v>2467</v>
      </c>
      <c r="W534" s="297" t="s">
        <v>3014</v>
      </c>
      <c r="X534" s="239" t="s">
        <v>3088</v>
      </c>
      <c r="Y534" s="239" t="s">
        <v>3125</v>
      </c>
      <c r="Z534" t="s">
        <v>3110</v>
      </c>
      <c r="AA534" s="299">
        <v>10421</v>
      </c>
    </row>
    <row r="535" spans="17:27" ht="13.8">
      <c r="Q535" s="296">
        <f t="shared" si="8"/>
        <v>529</v>
      </c>
      <c r="R535" s="297" t="s">
        <v>2469</v>
      </c>
      <c r="S535" s="297" t="s">
        <v>2470</v>
      </c>
      <c r="T535" s="298" t="s">
        <v>1038</v>
      </c>
      <c r="U535" s="296" t="s">
        <v>2471</v>
      </c>
      <c r="V535" s="296" t="s">
        <v>2470</v>
      </c>
      <c r="W535" s="297" t="s">
        <v>3015</v>
      </c>
      <c r="X535" s="239" t="s">
        <v>3088</v>
      </c>
      <c r="Y535" s="239" t="s">
        <v>3124</v>
      </c>
      <c r="Z535" t="s">
        <v>3112</v>
      </c>
      <c r="AA535" s="299">
        <v>54838</v>
      </c>
    </row>
    <row r="536" spans="17:27" ht="13.8">
      <c r="Q536" s="296">
        <f t="shared" si="8"/>
        <v>530</v>
      </c>
      <c r="R536" s="297" t="s">
        <v>2472</v>
      </c>
      <c r="S536" s="297" t="s">
        <v>2473</v>
      </c>
      <c r="T536" s="298" t="s">
        <v>976</v>
      </c>
      <c r="U536" s="296" t="s">
        <v>2474</v>
      </c>
      <c r="V536" s="296" t="s">
        <v>2473</v>
      </c>
      <c r="W536" s="297" t="s">
        <v>3016</v>
      </c>
      <c r="X536" s="239" t="s">
        <v>3088</v>
      </c>
      <c r="Y536" s="239" t="s">
        <v>3124</v>
      </c>
      <c r="Z536" t="s">
        <v>3111</v>
      </c>
      <c r="AA536" s="299">
        <v>17197</v>
      </c>
    </row>
    <row r="537" spans="17:27" ht="13.8">
      <c r="Q537" s="296">
        <f t="shared" si="8"/>
        <v>531</v>
      </c>
      <c r="R537" s="297" t="s">
        <v>2475</v>
      </c>
      <c r="S537" s="297" t="s">
        <v>2476</v>
      </c>
      <c r="T537" s="298" t="s">
        <v>1160</v>
      </c>
      <c r="U537" s="296" t="s">
        <v>2477</v>
      </c>
      <c r="V537" s="296" t="s">
        <v>2818</v>
      </c>
      <c r="W537" s="297" t="s">
        <v>2818</v>
      </c>
      <c r="X537" s="239" t="s">
        <v>3089</v>
      </c>
      <c r="Y537" s="239" t="s">
        <v>3124</v>
      </c>
      <c r="Z537" t="s">
        <v>3105</v>
      </c>
      <c r="AA537" s="299">
        <v>2283</v>
      </c>
    </row>
    <row r="538" spans="17:27" ht="13.8">
      <c r="Q538" s="296">
        <f t="shared" si="8"/>
        <v>532</v>
      </c>
      <c r="R538" s="297" t="s">
        <v>2478</v>
      </c>
      <c r="S538" s="297" t="s">
        <v>2479</v>
      </c>
      <c r="T538" s="298" t="s">
        <v>1025</v>
      </c>
      <c r="U538" s="296" t="s">
        <v>2480</v>
      </c>
      <c r="V538" s="296" t="s">
        <v>2479</v>
      </c>
      <c r="W538" s="297" t="s">
        <v>3017</v>
      </c>
      <c r="X538" s="239" t="s">
        <v>3088</v>
      </c>
      <c r="Y538" s="239" t="s">
        <v>3125</v>
      </c>
      <c r="Z538" t="s">
        <v>3107</v>
      </c>
      <c r="AA538" s="299">
        <v>3005</v>
      </c>
    </row>
    <row r="539" spans="17:27" ht="13.8">
      <c r="Q539" s="296">
        <f t="shared" si="8"/>
        <v>533</v>
      </c>
      <c r="R539" s="297" t="s">
        <v>2481</v>
      </c>
      <c r="S539" s="297" t="s">
        <v>2482</v>
      </c>
      <c r="T539" s="298" t="s">
        <v>990</v>
      </c>
      <c r="U539" s="296" t="s">
        <v>2483</v>
      </c>
      <c r="V539" s="296" t="s">
        <v>2482</v>
      </c>
      <c r="W539" s="297" t="s">
        <v>3018</v>
      </c>
      <c r="X539" s="239" t="s">
        <v>3088</v>
      </c>
      <c r="Y539" s="239" t="s">
        <v>3124</v>
      </c>
      <c r="Z539" t="s">
        <v>3105</v>
      </c>
      <c r="AA539" s="299">
        <v>11012</v>
      </c>
    </row>
    <row r="540" spans="17:27" ht="13.8">
      <c r="Q540" s="296">
        <f t="shared" si="8"/>
        <v>534</v>
      </c>
      <c r="R540" s="297" t="s">
        <v>81</v>
      </c>
      <c r="S540" s="297" t="s">
        <v>2484</v>
      </c>
      <c r="T540" s="298" t="s">
        <v>952</v>
      </c>
      <c r="U540" s="296" t="s">
        <v>2485</v>
      </c>
      <c r="V540" s="296" t="s">
        <v>2819</v>
      </c>
      <c r="W540" s="297" t="s">
        <v>2819</v>
      </c>
      <c r="X540" s="239" t="s">
        <v>3089</v>
      </c>
      <c r="Y540" s="239" t="s">
        <v>3126</v>
      </c>
      <c r="Z540" t="s">
        <v>3109</v>
      </c>
      <c r="AA540" s="299">
        <v>1010</v>
      </c>
    </row>
    <row r="541" spans="17:27" ht="13.8">
      <c r="Q541" s="296">
        <f t="shared" si="8"/>
        <v>535</v>
      </c>
      <c r="R541" s="297" t="s">
        <v>2486</v>
      </c>
      <c r="S541" s="297" t="s">
        <v>2487</v>
      </c>
      <c r="T541" s="298" t="s">
        <v>1160</v>
      </c>
      <c r="U541" s="296" t="s">
        <v>2488</v>
      </c>
      <c r="V541" s="296" t="s">
        <v>2487</v>
      </c>
      <c r="W541" s="297" t="s">
        <v>3019</v>
      </c>
      <c r="X541" s="239" t="s">
        <v>3088</v>
      </c>
      <c r="Y541" s="239" t="s">
        <v>3125</v>
      </c>
      <c r="Z541" t="s">
        <v>3110</v>
      </c>
      <c r="AA541" s="299">
        <v>22197</v>
      </c>
    </row>
    <row r="542" spans="17:27" ht="13.8">
      <c r="Q542" s="296">
        <f t="shared" si="8"/>
        <v>536</v>
      </c>
      <c r="R542" s="297" t="s">
        <v>2489</v>
      </c>
      <c r="S542" s="297" t="s">
        <v>2490</v>
      </c>
      <c r="T542" s="298" t="s">
        <v>900</v>
      </c>
      <c r="U542" s="296" t="s">
        <v>2491</v>
      </c>
      <c r="V542" s="296" t="s">
        <v>2820</v>
      </c>
      <c r="W542" s="297" t="s">
        <v>2820</v>
      </c>
      <c r="X542" s="239" t="s">
        <v>3089</v>
      </c>
      <c r="Y542" s="239" t="s">
        <v>3124</v>
      </c>
      <c r="Z542" t="s">
        <v>3105</v>
      </c>
      <c r="AA542" s="299">
        <v>8587</v>
      </c>
    </row>
    <row r="543" spans="17:27" ht="13.8">
      <c r="Q543" s="296">
        <f t="shared" si="8"/>
        <v>537</v>
      </c>
      <c r="R543" s="297" t="s">
        <v>2492</v>
      </c>
      <c r="S543" s="297" t="s">
        <v>2493</v>
      </c>
      <c r="T543" s="298" t="s">
        <v>1038</v>
      </c>
      <c r="U543" s="296" t="s">
        <v>2494</v>
      </c>
      <c r="V543" s="296" t="s">
        <v>2493</v>
      </c>
      <c r="W543" s="297" t="s">
        <v>3020</v>
      </c>
      <c r="X543" s="239" t="s">
        <v>3088</v>
      </c>
      <c r="Y543" s="239" t="s">
        <v>3124</v>
      </c>
      <c r="Z543" t="s">
        <v>3105</v>
      </c>
      <c r="AA543" s="299">
        <v>24862</v>
      </c>
    </row>
    <row r="544" spans="17:27" ht="13.8">
      <c r="Q544" s="296">
        <f t="shared" si="8"/>
        <v>538</v>
      </c>
      <c r="R544" s="297" t="s">
        <v>2495</v>
      </c>
      <c r="S544" s="297" t="s">
        <v>2496</v>
      </c>
      <c r="T544" s="298" t="s">
        <v>976</v>
      </c>
      <c r="U544" s="296" t="s">
        <v>2497</v>
      </c>
      <c r="V544" s="296" t="s">
        <v>3081</v>
      </c>
      <c r="W544" s="297" t="s">
        <v>3081</v>
      </c>
      <c r="X544" s="239" t="s">
        <v>2583</v>
      </c>
      <c r="Y544" s="239" t="s">
        <v>3126</v>
      </c>
      <c r="Z544" t="s">
        <v>3120</v>
      </c>
      <c r="AA544" s="299">
        <v>52912</v>
      </c>
    </row>
    <row r="545" spans="17:27" ht="13.8">
      <c r="Q545" s="296">
        <f t="shared" si="8"/>
        <v>539</v>
      </c>
      <c r="R545" s="297" t="s">
        <v>2498</v>
      </c>
      <c r="S545" s="297" t="s">
        <v>2499</v>
      </c>
      <c r="T545" s="298" t="s">
        <v>990</v>
      </c>
      <c r="U545" s="296" t="s">
        <v>2500</v>
      </c>
      <c r="V545" s="296" t="s">
        <v>2499</v>
      </c>
      <c r="W545" s="297" t="s">
        <v>3021</v>
      </c>
      <c r="X545" s="239" t="s">
        <v>3088</v>
      </c>
      <c r="Y545" s="239" t="s">
        <v>3124</v>
      </c>
      <c r="Z545" t="s">
        <v>3113</v>
      </c>
      <c r="AA545" s="299">
        <v>48843</v>
      </c>
    </row>
    <row r="546" spans="17:27" ht="13.8">
      <c r="Q546" s="296">
        <f t="shared" si="8"/>
        <v>540</v>
      </c>
      <c r="R546" s="297" t="s">
        <v>2501</v>
      </c>
      <c r="S546" s="297" t="s">
        <v>2502</v>
      </c>
      <c r="T546" s="298" t="s">
        <v>952</v>
      </c>
      <c r="U546" s="296" t="s">
        <v>2503</v>
      </c>
      <c r="V546" s="296" t="s">
        <v>2821</v>
      </c>
      <c r="W546" s="297" t="s">
        <v>2821</v>
      </c>
      <c r="X546" s="239" t="s">
        <v>3089</v>
      </c>
      <c r="Y546" s="239" t="s">
        <v>3126</v>
      </c>
      <c r="Z546" t="s">
        <v>3109</v>
      </c>
      <c r="AA546" s="299">
        <v>540</v>
      </c>
    </row>
    <row r="547" spans="17:27" ht="13.8">
      <c r="Q547" s="296">
        <f t="shared" si="8"/>
        <v>541</v>
      </c>
      <c r="R547" s="297" t="s">
        <v>2504</v>
      </c>
      <c r="S547" s="297" t="s">
        <v>2505</v>
      </c>
      <c r="T547" s="298" t="s">
        <v>1266</v>
      </c>
      <c r="U547" s="296" t="s">
        <v>2506</v>
      </c>
      <c r="V547" s="296" t="s">
        <v>2505</v>
      </c>
      <c r="W547" s="297" t="s">
        <v>3022</v>
      </c>
      <c r="X547" s="239" t="s">
        <v>3088</v>
      </c>
      <c r="Y547" s="239" t="s">
        <v>3124</v>
      </c>
      <c r="Z547" t="s">
        <v>3113</v>
      </c>
      <c r="AA547" s="299">
        <v>29518</v>
      </c>
    </row>
    <row r="548" spans="17:27" ht="13.8">
      <c r="Q548" s="296">
        <f t="shared" si="8"/>
        <v>542</v>
      </c>
      <c r="R548" s="297" t="s">
        <v>2507</v>
      </c>
      <c r="S548" s="297" t="s">
        <v>2508</v>
      </c>
      <c r="T548" s="298" t="s">
        <v>969</v>
      </c>
      <c r="U548" s="296" t="s">
        <v>2509</v>
      </c>
      <c r="V548" s="296" t="s">
        <v>2508</v>
      </c>
      <c r="W548" s="297" t="s">
        <v>3023</v>
      </c>
      <c r="X548" s="239" t="s">
        <v>3088</v>
      </c>
      <c r="Y548" s="239" t="s">
        <v>3125</v>
      </c>
      <c r="Z548" t="s">
        <v>3110</v>
      </c>
      <c r="AA548" s="299">
        <v>9121</v>
      </c>
    </row>
    <row r="549" spans="17:27" ht="13.8">
      <c r="Q549" s="296">
        <f t="shared" si="8"/>
        <v>543</v>
      </c>
      <c r="R549" s="297" t="s">
        <v>2510</v>
      </c>
      <c r="S549" s="297" t="s">
        <v>2511</v>
      </c>
      <c r="T549" s="298" t="s">
        <v>1006</v>
      </c>
      <c r="U549" s="296" t="s">
        <v>2512</v>
      </c>
      <c r="V549" s="296" t="s">
        <v>3082</v>
      </c>
      <c r="W549" s="297" t="s">
        <v>3082</v>
      </c>
      <c r="X549" s="239" t="s">
        <v>2583</v>
      </c>
      <c r="Y549" s="239" t="s">
        <v>3124</v>
      </c>
      <c r="Z549" t="s">
        <v>3118</v>
      </c>
      <c r="AA549" s="299">
        <v>31032</v>
      </c>
    </row>
    <row r="550" spans="17:27" ht="13.8">
      <c r="Q550" s="296">
        <f t="shared" si="8"/>
        <v>544</v>
      </c>
      <c r="R550" s="297" t="s">
        <v>2513</v>
      </c>
      <c r="S550" s="297" t="s">
        <v>2514</v>
      </c>
      <c r="T550" s="298" t="s">
        <v>1160</v>
      </c>
      <c r="U550" s="296" t="s">
        <v>2515</v>
      </c>
      <c r="V550" s="296" t="s">
        <v>2822</v>
      </c>
      <c r="W550" s="297" t="s">
        <v>2822</v>
      </c>
      <c r="X550" s="239" t="s">
        <v>3089</v>
      </c>
      <c r="Y550" s="239" t="s">
        <v>3124</v>
      </c>
      <c r="Z550" t="s">
        <v>3105</v>
      </c>
      <c r="AA550" s="299">
        <v>4264</v>
      </c>
    </row>
    <row r="551" spans="17:27" ht="13.8">
      <c r="Q551" s="296">
        <f t="shared" si="8"/>
        <v>545</v>
      </c>
      <c r="R551" s="297" t="s">
        <v>2516</v>
      </c>
      <c r="S551" s="297" t="s">
        <v>2517</v>
      </c>
      <c r="T551" s="298" t="s">
        <v>908</v>
      </c>
      <c r="U551" s="296" t="s">
        <v>2518</v>
      </c>
      <c r="V551" s="296" t="s">
        <v>2823</v>
      </c>
      <c r="W551" s="297" t="s">
        <v>2823</v>
      </c>
      <c r="X551" s="239" t="s">
        <v>3089</v>
      </c>
      <c r="Y551" s="239" t="s">
        <v>3124</v>
      </c>
      <c r="Z551" t="s">
        <v>3105</v>
      </c>
      <c r="AA551" s="299">
        <v>11282</v>
      </c>
    </row>
    <row r="552" spans="17:27" ht="13.8">
      <c r="Q552" s="296">
        <f t="shared" si="8"/>
        <v>546</v>
      </c>
      <c r="R552" s="297" t="s">
        <v>2519</v>
      </c>
      <c r="S552" s="297" t="s">
        <v>2520</v>
      </c>
      <c r="T552" s="298" t="s">
        <v>904</v>
      </c>
      <c r="U552" s="296" t="s">
        <v>2521</v>
      </c>
      <c r="V552" s="296" t="s">
        <v>2520</v>
      </c>
      <c r="W552" s="297" t="s">
        <v>3024</v>
      </c>
      <c r="X552" s="239" t="s">
        <v>3088</v>
      </c>
      <c r="Y552" s="239" t="s">
        <v>3125</v>
      </c>
      <c r="Z552" t="s">
        <v>3107</v>
      </c>
      <c r="AA552" s="299">
        <v>2614</v>
      </c>
    </row>
    <row r="553" spans="17:27" ht="13.8">
      <c r="Q553" s="296">
        <f t="shared" si="8"/>
        <v>547</v>
      </c>
      <c r="R553" s="297" t="s">
        <v>2522</v>
      </c>
      <c r="S553" s="297" t="s">
        <v>2523</v>
      </c>
      <c r="T553" s="298" t="s">
        <v>1048</v>
      </c>
      <c r="U553" s="296" t="s">
        <v>2524</v>
      </c>
      <c r="V553" s="296" t="s">
        <v>2824</v>
      </c>
      <c r="W553" s="297" t="s">
        <v>2824</v>
      </c>
      <c r="X553" s="239" t="s">
        <v>3089</v>
      </c>
      <c r="Y553" s="239" t="s">
        <v>3124</v>
      </c>
      <c r="Z553" t="s">
        <v>3105</v>
      </c>
      <c r="AA553" s="299">
        <v>7241</v>
      </c>
    </row>
    <row r="554" spans="17:27" ht="13.8">
      <c r="Q554" s="296">
        <f t="shared" si="8"/>
        <v>548</v>
      </c>
      <c r="R554" s="297" t="s">
        <v>2525</v>
      </c>
      <c r="S554" s="297" t="s">
        <v>2526</v>
      </c>
      <c r="T554" s="298" t="s">
        <v>922</v>
      </c>
      <c r="U554" s="296" t="s">
        <v>2527</v>
      </c>
      <c r="V554" s="296" t="s">
        <v>2526</v>
      </c>
      <c r="W554" s="297" t="s">
        <v>3025</v>
      </c>
      <c r="X554" s="239" t="s">
        <v>3088</v>
      </c>
      <c r="Y554" s="239" t="s">
        <v>3125</v>
      </c>
      <c r="Z554" t="s">
        <v>3107</v>
      </c>
      <c r="AA554" s="299">
        <v>4606</v>
      </c>
    </row>
    <row r="555" spans="17:27" ht="13.8">
      <c r="Q555" s="296">
        <f t="shared" si="8"/>
        <v>549</v>
      </c>
      <c r="R555" s="297" t="s">
        <v>2528</v>
      </c>
      <c r="S555" s="297" t="s">
        <v>2529</v>
      </c>
      <c r="T555" s="298" t="s">
        <v>952</v>
      </c>
      <c r="U555" s="296" t="s">
        <v>2530</v>
      </c>
      <c r="V555" s="296" t="s">
        <v>3069</v>
      </c>
      <c r="W555" s="297" t="s">
        <v>3069</v>
      </c>
      <c r="X555" s="239" t="s">
        <v>3090</v>
      </c>
      <c r="Y555" s="239" t="s">
        <v>3126</v>
      </c>
      <c r="Z555" t="s">
        <v>3109</v>
      </c>
      <c r="AA555" s="299">
        <v>5157</v>
      </c>
    </row>
    <row r="556" spans="17:27" ht="13.8">
      <c r="Q556" s="296">
        <f t="shared" si="8"/>
        <v>550</v>
      </c>
      <c r="R556" s="297" t="s">
        <v>2531</v>
      </c>
      <c r="S556" s="297" t="s">
        <v>2532</v>
      </c>
      <c r="T556" s="298" t="s">
        <v>952</v>
      </c>
      <c r="U556" s="296" t="s">
        <v>2533</v>
      </c>
      <c r="V556" s="296" t="s">
        <v>2825</v>
      </c>
      <c r="W556" s="297" t="s">
        <v>2825</v>
      </c>
      <c r="X556" s="239" t="s">
        <v>3089</v>
      </c>
      <c r="Y556" s="239" t="s">
        <v>3126</v>
      </c>
      <c r="Z556" t="s">
        <v>3109</v>
      </c>
      <c r="AA556" s="299">
        <v>3101</v>
      </c>
    </row>
    <row r="557" spans="17:27" ht="13.8">
      <c r="Q557" s="296">
        <f t="shared" si="8"/>
        <v>551</v>
      </c>
      <c r="R557" s="297" t="s">
        <v>2534</v>
      </c>
      <c r="S557" s="297" t="s">
        <v>2535</v>
      </c>
      <c r="T557" s="298" t="s">
        <v>969</v>
      </c>
      <c r="U557" s="296" t="s">
        <v>2536</v>
      </c>
      <c r="V557" s="296" t="s">
        <v>2535</v>
      </c>
      <c r="W557" s="297" t="s">
        <v>3026</v>
      </c>
      <c r="X557" s="239" t="s">
        <v>3088</v>
      </c>
      <c r="Y557" s="239" t="s">
        <v>3124</v>
      </c>
      <c r="Z557" t="s">
        <v>3111</v>
      </c>
      <c r="AA557" s="299">
        <v>31889</v>
      </c>
    </row>
    <row r="558" spans="17:27" ht="13.8">
      <c r="Q558" s="296">
        <f t="shared" si="8"/>
        <v>552</v>
      </c>
      <c r="R558" s="297" t="s">
        <v>2537</v>
      </c>
      <c r="S558" s="297" t="s">
        <v>2538</v>
      </c>
      <c r="T558" s="298" t="s">
        <v>1006</v>
      </c>
      <c r="U558" s="296" t="s">
        <v>2539</v>
      </c>
      <c r="V558" s="296" t="s">
        <v>2538</v>
      </c>
      <c r="W558" s="297" t="s">
        <v>3027</v>
      </c>
      <c r="X558" s="239" t="s">
        <v>3088</v>
      </c>
      <c r="Y558" s="239" t="s">
        <v>3125</v>
      </c>
      <c r="Z558" t="s">
        <v>3107</v>
      </c>
      <c r="AA558" s="299">
        <v>1423</v>
      </c>
    </row>
    <row r="559" spans="17:27" ht="13.8">
      <c r="Q559" s="296">
        <f t="shared" si="8"/>
        <v>553</v>
      </c>
      <c r="R559" s="297" t="s">
        <v>2540</v>
      </c>
      <c r="S559" s="297" t="s">
        <v>2541</v>
      </c>
      <c r="T559" s="298" t="s">
        <v>945</v>
      </c>
      <c r="U559" s="296" t="s">
        <v>2542</v>
      </c>
      <c r="V559" s="296" t="s">
        <v>2541</v>
      </c>
      <c r="W559" s="297" t="s">
        <v>3028</v>
      </c>
      <c r="X559" s="239" t="s">
        <v>3088</v>
      </c>
      <c r="Y559" s="239" t="s">
        <v>3125</v>
      </c>
      <c r="Z559" t="s">
        <v>3123</v>
      </c>
      <c r="AA559" s="299">
        <v>39907</v>
      </c>
    </row>
    <row r="560" spans="17:27" ht="13.8">
      <c r="Q560" s="296">
        <f t="shared" si="8"/>
        <v>554</v>
      </c>
      <c r="R560" s="297" t="s">
        <v>2543</v>
      </c>
      <c r="S560" s="297" t="s">
        <v>2544</v>
      </c>
      <c r="T560" s="298" t="s">
        <v>952</v>
      </c>
      <c r="U560" s="296" t="s">
        <v>2545</v>
      </c>
      <c r="V560" s="296" t="s">
        <v>2826</v>
      </c>
      <c r="W560" s="297" t="s">
        <v>2826</v>
      </c>
      <c r="X560" s="239" t="s">
        <v>3089</v>
      </c>
      <c r="Y560" s="239" t="s">
        <v>3124</v>
      </c>
      <c r="Z560" t="s">
        <v>3105</v>
      </c>
      <c r="AA560" s="299">
        <v>2128</v>
      </c>
    </row>
    <row r="561" spans="17:27" ht="13.8">
      <c r="Q561" s="296">
        <f t="shared" si="8"/>
        <v>555</v>
      </c>
      <c r="R561" s="297" t="s">
        <v>2546</v>
      </c>
      <c r="S561" s="297" t="s">
        <v>2547</v>
      </c>
      <c r="T561" s="298" t="s">
        <v>1126</v>
      </c>
      <c r="U561" s="296" t="s">
        <v>2548</v>
      </c>
      <c r="V561" s="296" t="s">
        <v>2547</v>
      </c>
      <c r="W561" s="297" t="s">
        <v>3029</v>
      </c>
      <c r="X561" s="239" t="s">
        <v>3088</v>
      </c>
      <c r="Y561" s="239" t="s">
        <v>3124</v>
      </c>
      <c r="Z561" t="s">
        <v>3112</v>
      </c>
      <c r="AA561" s="299">
        <v>103639</v>
      </c>
    </row>
    <row r="562" spans="17:27" ht="13.8">
      <c r="Q562" s="296">
        <f t="shared" si="8"/>
        <v>556</v>
      </c>
      <c r="R562" s="297" t="s">
        <v>2549</v>
      </c>
      <c r="S562" s="297" t="s">
        <v>2550</v>
      </c>
      <c r="T562" s="298" t="s">
        <v>1160</v>
      </c>
      <c r="U562" s="296" t="s">
        <v>2551</v>
      </c>
      <c r="V562" s="296" t="s">
        <v>3070</v>
      </c>
      <c r="W562" s="297" t="s">
        <v>3070</v>
      </c>
      <c r="X562" s="239" t="s">
        <v>3090</v>
      </c>
      <c r="Y562" s="239" t="s">
        <v>3124</v>
      </c>
      <c r="Z562" t="s">
        <v>3112</v>
      </c>
      <c r="AA562" s="299">
        <v>9963</v>
      </c>
    </row>
    <row r="563" spans="17:27" ht="13.8">
      <c r="Q563" s="296">
        <f t="shared" si="8"/>
        <v>557</v>
      </c>
      <c r="R563" s="297" t="s">
        <v>2552</v>
      </c>
      <c r="S563" s="297" t="s">
        <v>2553</v>
      </c>
      <c r="T563" s="298" t="s">
        <v>1160</v>
      </c>
      <c r="U563" s="296" t="s">
        <v>2554</v>
      </c>
      <c r="V563" s="296" t="s">
        <v>2827</v>
      </c>
      <c r="W563" s="297" t="s">
        <v>2827</v>
      </c>
      <c r="X563" s="239" t="s">
        <v>3089</v>
      </c>
      <c r="Y563" s="239" t="s">
        <v>3124</v>
      </c>
      <c r="Z563" t="s">
        <v>3105</v>
      </c>
      <c r="AA563" s="299">
        <v>3098</v>
      </c>
    </row>
    <row r="564" spans="17:27" ht="13.8">
      <c r="Q564" s="296">
        <f t="shared" si="8"/>
        <v>558</v>
      </c>
      <c r="R564" s="297" t="s">
        <v>2555</v>
      </c>
      <c r="S564" s="297" t="s">
        <v>2556</v>
      </c>
      <c r="T564" s="298" t="s">
        <v>908</v>
      </c>
      <c r="U564" s="296" t="s">
        <v>2557</v>
      </c>
      <c r="V564" s="296" t="s">
        <v>2828</v>
      </c>
      <c r="W564" s="297" t="s">
        <v>2828</v>
      </c>
      <c r="X564" s="239" t="s">
        <v>3089</v>
      </c>
      <c r="Y564" s="239" t="s">
        <v>3124</v>
      </c>
      <c r="Z564" t="s">
        <v>3105</v>
      </c>
      <c r="AA564" s="299">
        <v>6128</v>
      </c>
    </row>
    <row r="565" spans="17:27" ht="13.8">
      <c r="Q565" s="296">
        <f t="shared" si="8"/>
        <v>559</v>
      </c>
      <c r="R565" s="297" t="s">
        <v>2558</v>
      </c>
      <c r="S565" s="297" t="s">
        <v>2559</v>
      </c>
      <c r="T565" s="298" t="s">
        <v>1038</v>
      </c>
      <c r="U565" s="296" t="s">
        <v>2560</v>
      </c>
      <c r="V565" s="296" t="s">
        <v>2829</v>
      </c>
      <c r="W565" s="297" t="s">
        <v>2829</v>
      </c>
      <c r="X565" s="239" t="s">
        <v>3089</v>
      </c>
      <c r="Y565" s="239" t="s">
        <v>3124</v>
      </c>
      <c r="Z565" t="s">
        <v>3105</v>
      </c>
      <c r="AA565" s="299">
        <v>13484</v>
      </c>
    </row>
    <row r="566" spans="17:27" ht="13.8">
      <c r="Q566" s="296">
        <f t="shared" si="8"/>
        <v>560</v>
      </c>
      <c r="R566" s="297" t="s">
        <v>2561</v>
      </c>
      <c r="S566" s="297" t="s">
        <v>2562</v>
      </c>
      <c r="T566" s="298" t="s">
        <v>969</v>
      </c>
      <c r="U566" s="296" t="s">
        <v>2563</v>
      </c>
      <c r="V566" s="296" t="s">
        <v>2562</v>
      </c>
      <c r="W566" s="297" t="s">
        <v>3030</v>
      </c>
      <c r="X566" s="239" t="s">
        <v>3088</v>
      </c>
      <c r="Y566" s="239" t="s">
        <v>3125</v>
      </c>
      <c r="Z566" t="s">
        <v>3107</v>
      </c>
      <c r="AA566" s="299">
        <v>1544</v>
      </c>
    </row>
    <row r="567" spans="17:27" ht="13.8">
      <c r="Q567" s="296">
        <f t="shared" si="8"/>
        <v>561</v>
      </c>
      <c r="R567" s="297" t="s">
        <v>2564</v>
      </c>
      <c r="S567" s="297" t="s">
        <v>2565</v>
      </c>
      <c r="T567" s="298" t="s">
        <v>945</v>
      </c>
      <c r="U567" s="296" t="s">
        <v>2566</v>
      </c>
      <c r="V567" s="296" t="s">
        <v>2830</v>
      </c>
      <c r="W567" s="297" t="s">
        <v>2830</v>
      </c>
      <c r="X567" s="239" t="s">
        <v>3089</v>
      </c>
      <c r="Y567" s="239" t="s">
        <v>3124</v>
      </c>
      <c r="Z567" t="s">
        <v>3105</v>
      </c>
      <c r="AA567" s="299">
        <v>2902</v>
      </c>
    </row>
    <row r="568" spans="17:27" ht="13.8">
      <c r="Q568" s="296">
        <f t="shared" si="8"/>
        <v>562</v>
      </c>
      <c r="R568" s="297" t="s">
        <v>2567</v>
      </c>
      <c r="S568" s="297" t="s">
        <v>2568</v>
      </c>
      <c r="T568" s="298" t="s">
        <v>908</v>
      </c>
      <c r="U568" s="296" t="s">
        <v>2569</v>
      </c>
      <c r="V568" s="296" t="s">
        <v>2831</v>
      </c>
      <c r="W568" s="297" t="s">
        <v>2831</v>
      </c>
      <c r="X568" s="239" t="s">
        <v>3089</v>
      </c>
      <c r="Y568" s="239" t="s">
        <v>3124</v>
      </c>
      <c r="Z568" t="s">
        <v>3105</v>
      </c>
      <c r="AA568" s="299">
        <v>10137</v>
      </c>
    </row>
    <row r="569" spans="17:27" ht="13.8">
      <c r="Q569" s="296">
        <f t="shared" si="8"/>
        <v>563</v>
      </c>
      <c r="R569" s="297" t="s">
        <v>2570</v>
      </c>
      <c r="S569" s="297" t="s">
        <v>2571</v>
      </c>
      <c r="T569" s="298" t="s">
        <v>918</v>
      </c>
      <c r="U569" s="296" t="s">
        <v>2572</v>
      </c>
      <c r="V569" s="296" t="s">
        <v>2832</v>
      </c>
      <c r="W569" s="297" t="s">
        <v>2832</v>
      </c>
      <c r="X569" s="239" t="s">
        <v>3089</v>
      </c>
      <c r="Y569" s="239" t="s">
        <v>3124</v>
      </c>
      <c r="Z569" t="s">
        <v>3105</v>
      </c>
      <c r="AA569" s="299">
        <v>3678</v>
      </c>
    </row>
    <row r="570" spans="17:27" ht="13.8">
      <c r="Q570" s="296">
        <f t="shared" si="8"/>
        <v>564</v>
      </c>
      <c r="R570" s="297" t="s">
        <v>2573</v>
      </c>
      <c r="S570" s="297" t="s">
        <v>2574</v>
      </c>
      <c r="T570" s="298" t="s">
        <v>1160</v>
      </c>
      <c r="U570" s="296" t="s">
        <v>2575</v>
      </c>
      <c r="V570" s="296" t="s">
        <v>2574</v>
      </c>
      <c r="W570" s="297" t="s">
        <v>3031</v>
      </c>
      <c r="X570" s="239" t="s">
        <v>3088</v>
      </c>
      <c r="Y570" s="239" t="s">
        <v>3125</v>
      </c>
      <c r="Z570" t="s">
        <v>3110</v>
      </c>
      <c r="AA570" s="299">
        <v>12577</v>
      </c>
    </row>
    <row r="571" spans="17:27" ht="13.8">
      <c r="Q571" s="296">
        <f t="shared" si="8"/>
        <v>565</v>
      </c>
      <c r="R571" s="297" t="s">
        <v>2576</v>
      </c>
      <c r="S571" s="297" t="s">
        <v>2577</v>
      </c>
      <c r="T571" s="298" t="s">
        <v>969</v>
      </c>
      <c r="U571" s="296" t="s">
        <v>2578</v>
      </c>
      <c r="V571" s="296" t="s">
        <v>2833</v>
      </c>
      <c r="W571" s="297" t="s">
        <v>2833</v>
      </c>
      <c r="X571" s="239" t="s">
        <v>3089</v>
      </c>
      <c r="Y571" s="239" t="s">
        <v>3124</v>
      </c>
      <c r="Z571" t="s">
        <v>3105</v>
      </c>
      <c r="AA571" s="299">
        <v>720</v>
      </c>
    </row>
    <row r="572" spans="17:27" ht="13.8">
      <c r="Q572" s="296">
        <f t="shared" si="8"/>
        <v>566</v>
      </c>
      <c r="R572" s="297" t="s">
        <v>2579</v>
      </c>
      <c r="S572" s="297" t="s">
        <v>2580</v>
      </c>
      <c r="T572" s="298" t="s">
        <v>908</v>
      </c>
      <c r="U572" s="296" t="s">
        <v>2581</v>
      </c>
      <c r="V572" s="296" t="s">
        <v>2580</v>
      </c>
      <c r="W572" s="297" t="s">
        <v>3032</v>
      </c>
      <c r="X572" s="239" t="s">
        <v>3088</v>
      </c>
      <c r="Y572" s="239" t="s">
        <v>3125</v>
      </c>
      <c r="Z572" t="s">
        <v>3110</v>
      </c>
      <c r="AA572" s="299">
        <v>16585</v>
      </c>
    </row>
    <row r="573" spans="17:27" ht="13.8">
      <c r="Q573" s="296">
        <f t="shared" si="8"/>
        <v>567</v>
      </c>
      <c r="R573" s="684" t="s">
        <v>3408</v>
      </c>
      <c r="S573" s="297" t="s">
        <v>3431</v>
      </c>
      <c r="T573" t="s">
        <v>904</v>
      </c>
      <c r="U573" s="296" t="s">
        <v>3452</v>
      </c>
      <c r="V573" s="296" t="s">
        <v>904</v>
      </c>
      <c r="W573" s="297" t="s">
        <v>904</v>
      </c>
      <c r="X573" s="239" t="s">
        <v>347</v>
      </c>
      <c r="Y573" s="239" t="s">
        <v>3520</v>
      </c>
      <c r="AA573" s="299">
        <v>274534</v>
      </c>
    </row>
    <row r="574" spans="17:27" ht="13.8">
      <c r="Q574" s="296">
        <f t="shared" si="8"/>
        <v>568</v>
      </c>
      <c r="R574" s="684" t="s">
        <v>3409</v>
      </c>
      <c r="S574" s="297" t="s">
        <v>3432</v>
      </c>
      <c r="T574" t="s">
        <v>908</v>
      </c>
      <c r="U574" s="296" t="s">
        <v>3453</v>
      </c>
      <c r="V574" s="296" t="s">
        <v>908</v>
      </c>
      <c r="W574" s="297" t="s">
        <v>908</v>
      </c>
      <c r="X574" s="239" t="s">
        <v>347</v>
      </c>
      <c r="Y574" s="239" t="s">
        <v>3520</v>
      </c>
      <c r="AA574" s="299">
        <v>955732</v>
      </c>
    </row>
    <row r="575" spans="17:27" ht="13.8">
      <c r="Q575" s="296">
        <f t="shared" si="8"/>
        <v>569</v>
      </c>
      <c r="R575" s="684" t="s">
        <v>3410</v>
      </c>
      <c r="S575" s="297" t="s">
        <v>3433</v>
      </c>
      <c r="T575" t="s">
        <v>969</v>
      </c>
      <c r="U575" s="296" t="s">
        <v>3454</v>
      </c>
      <c r="V575" s="296" t="s">
        <v>969</v>
      </c>
      <c r="W575" s="297" t="s">
        <v>969</v>
      </c>
      <c r="X575" s="239" t="s">
        <v>347</v>
      </c>
      <c r="Y575" s="239" t="s">
        <v>3520</v>
      </c>
      <c r="AA575" s="299">
        <v>461860</v>
      </c>
    </row>
    <row r="576" spans="17:27" ht="13.8">
      <c r="Q576" s="296">
        <f t="shared" si="8"/>
        <v>570</v>
      </c>
      <c r="R576" s="684" t="s">
        <v>3411</v>
      </c>
      <c r="S576" s="297" t="s">
        <v>3434</v>
      </c>
      <c r="T576" t="s">
        <v>945</v>
      </c>
      <c r="U576" s="296" t="s">
        <v>3455</v>
      </c>
      <c r="V576" s="296" t="s">
        <v>945</v>
      </c>
      <c r="W576" s="297" t="s">
        <v>945</v>
      </c>
      <c r="X576" s="239" t="s">
        <v>347</v>
      </c>
      <c r="Y576" s="239" t="s">
        <v>3520</v>
      </c>
      <c r="AA576" s="299">
        <v>523485</v>
      </c>
    </row>
    <row r="577" spans="17:27" ht="13.8">
      <c r="Q577" s="296">
        <f t="shared" si="8"/>
        <v>571</v>
      </c>
      <c r="R577" s="684" t="s">
        <v>3412</v>
      </c>
      <c r="S577" s="297" t="s">
        <v>3435</v>
      </c>
      <c r="T577" t="s">
        <v>952</v>
      </c>
      <c r="U577" s="296" t="s">
        <v>3456</v>
      </c>
      <c r="V577" s="296" t="s">
        <v>952</v>
      </c>
      <c r="W577" s="297" t="s">
        <v>952</v>
      </c>
      <c r="X577" s="239" t="s">
        <v>347</v>
      </c>
      <c r="Y577" s="239" t="s">
        <v>3520</v>
      </c>
      <c r="AA577" s="299">
        <v>95263</v>
      </c>
    </row>
    <row r="578" spans="17:27" ht="13.8">
      <c r="Q578" s="296">
        <f t="shared" si="8"/>
        <v>572</v>
      </c>
      <c r="R578" s="684" t="s">
        <v>3413</v>
      </c>
      <c r="S578" s="297" t="s">
        <v>3436</v>
      </c>
      <c r="T578" t="s">
        <v>1073</v>
      </c>
      <c r="U578" s="296" t="s">
        <v>3457</v>
      </c>
      <c r="V578" s="296" t="s">
        <v>1073</v>
      </c>
      <c r="W578" s="297" t="s">
        <v>1073</v>
      </c>
      <c r="X578" s="239" t="s">
        <v>347</v>
      </c>
      <c r="Y578" s="239" t="s">
        <v>3520</v>
      </c>
      <c r="AA578" s="299">
        <v>154152</v>
      </c>
    </row>
    <row r="579" spans="17:27" ht="13.8">
      <c r="Q579" s="296">
        <f t="shared" si="8"/>
        <v>573</v>
      </c>
      <c r="R579" s="684" t="s">
        <v>3414</v>
      </c>
      <c r="S579" s="297" t="s">
        <v>3437</v>
      </c>
      <c r="T579" t="s">
        <v>990</v>
      </c>
      <c r="U579" s="296" t="s">
        <v>3458</v>
      </c>
      <c r="V579" s="296" t="s">
        <v>990</v>
      </c>
      <c r="W579" s="297" t="s">
        <v>990</v>
      </c>
      <c r="X579" s="239" t="s">
        <v>347</v>
      </c>
      <c r="Y579" s="239" t="s">
        <v>3520</v>
      </c>
      <c r="AA579" s="299">
        <v>863728</v>
      </c>
    </row>
    <row r="580" spans="17:27" ht="13.8">
      <c r="Q580" s="296">
        <f t="shared" si="8"/>
        <v>574</v>
      </c>
      <c r="R580" s="684" t="s">
        <v>3415</v>
      </c>
      <c r="S580" s="297" t="s">
        <v>3438</v>
      </c>
      <c r="T580" t="s">
        <v>1160</v>
      </c>
      <c r="U580" s="296" t="s">
        <v>3459</v>
      </c>
      <c r="V580" s="296" t="s">
        <v>1160</v>
      </c>
      <c r="W580" s="297" t="s">
        <v>1160</v>
      </c>
      <c r="X580" s="239" t="s">
        <v>347</v>
      </c>
      <c r="Y580" s="239" t="s">
        <v>3520</v>
      </c>
      <c r="AA580" s="299">
        <v>302294</v>
      </c>
    </row>
    <row r="581" spans="17:27" ht="13.8">
      <c r="Q581" s="296">
        <f t="shared" si="8"/>
        <v>575</v>
      </c>
      <c r="R581" s="684" t="s">
        <v>3416</v>
      </c>
      <c r="S581" s="297" t="s">
        <v>3439</v>
      </c>
      <c r="T581" t="s">
        <v>976</v>
      </c>
      <c r="U581" s="296" t="s">
        <v>3460</v>
      </c>
      <c r="V581" s="296" t="s">
        <v>976</v>
      </c>
      <c r="W581" s="297" t="s">
        <v>976</v>
      </c>
      <c r="X581" s="239" t="s">
        <v>347</v>
      </c>
      <c r="Y581" s="239" t="s">
        <v>3520</v>
      </c>
      <c r="AA581" s="299">
        <v>724854</v>
      </c>
    </row>
    <row r="582" spans="17:27" ht="13.8">
      <c r="Q582" s="296">
        <f t="shared" si="8"/>
        <v>576</v>
      </c>
      <c r="R582" s="684" t="s">
        <v>3417</v>
      </c>
      <c r="S582" s="297" t="s">
        <v>3440</v>
      </c>
      <c r="T582" t="s">
        <v>1025</v>
      </c>
      <c r="U582" s="296" t="s">
        <v>3461</v>
      </c>
      <c r="V582" s="296" t="s">
        <v>1025</v>
      </c>
      <c r="W582" s="297" t="s">
        <v>1025</v>
      </c>
      <c r="X582" s="239" t="s">
        <v>347</v>
      </c>
      <c r="Y582" s="239" t="s">
        <v>3520</v>
      </c>
      <c r="AA582" s="299">
        <v>128947</v>
      </c>
    </row>
    <row r="583" spans="17:27" ht="13.8">
      <c r="Q583" s="296">
        <f t="shared" si="8"/>
        <v>577</v>
      </c>
      <c r="R583" s="684" t="s">
        <v>3418</v>
      </c>
      <c r="S583" s="297" t="s">
        <v>3441</v>
      </c>
      <c r="T583" t="s">
        <v>1266</v>
      </c>
      <c r="U583" s="296" t="s">
        <v>3462</v>
      </c>
      <c r="V583" s="296" t="s">
        <v>1266</v>
      </c>
      <c r="W583" s="297" t="s">
        <v>1266</v>
      </c>
      <c r="X583" s="239" t="s">
        <v>347</v>
      </c>
      <c r="Y583" s="239" t="s">
        <v>3520</v>
      </c>
      <c r="AA583" s="299">
        <v>387340</v>
      </c>
    </row>
    <row r="584" spans="17:27" ht="13.8">
      <c r="Q584" s="296">
        <f t="shared" si="8"/>
        <v>578</v>
      </c>
      <c r="R584" s="684" t="s">
        <v>3419</v>
      </c>
      <c r="S584" s="297" t="s">
        <v>3442</v>
      </c>
      <c r="T584" t="s">
        <v>1126</v>
      </c>
      <c r="U584" s="296" t="s">
        <v>3463</v>
      </c>
      <c r="V584" s="296" t="s">
        <v>1126</v>
      </c>
      <c r="W584" s="297" t="s">
        <v>1126</v>
      </c>
      <c r="X584" s="239" t="s">
        <v>347</v>
      </c>
      <c r="Y584" s="239" t="s">
        <v>3520</v>
      </c>
      <c r="AA584" s="299">
        <v>863162</v>
      </c>
    </row>
    <row r="585" spans="17:27" ht="13.8">
      <c r="Q585" s="296">
        <f t="shared" si="8"/>
        <v>579</v>
      </c>
      <c r="R585" s="684" t="s">
        <v>3420</v>
      </c>
      <c r="S585" s="297" t="s">
        <v>3443</v>
      </c>
      <c r="T585" t="s">
        <v>900</v>
      </c>
      <c r="U585" s="296" t="s">
        <v>3464</v>
      </c>
      <c r="V585" s="296" t="s">
        <v>900</v>
      </c>
      <c r="W585" s="297" t="s">
        <v>900</v>
      </c>
      <c r="X585" s="239" t="s">
        <v>347</v>
      </c>
      <c r="Y585" s="239" t="s">
        <v>3520</v>
      </c>
      <c r="AA585" s="299">
        <v>643615</v>
      </c>
    </row>
    <row r="586" spans="17:27" ht="13.8">
      <c r="Q586" s="296">
        <f t="shared" si="8"/>
        <v>580</v>
      </c>
      <c r="R586" s="684" t="s">
        <v>3421</v>
      </c>
      <c r="S586" s="297" t="s">
        <v>3444</v>
      </c>
      <c r="T586" t="s">
        <v>1048</v>
      </c>
      <c r="U586" s="296" t="s">
        <v>3465</v>
      </c>
      <c r="V586" s="296" t="s">
        <v>1048</v>
      </c>
      <c r="W586" s="297" t="s">
        <v>1048</v>
      </c>
      <c r="X586" s="239" t="s">
        <v>347</v>
      </c>
      <c r="Y586" s="239" t="s">
        <v>3520</v>
      </c>
      <c r="AA586" s="299">
        <v>509285</v>
      </c>
    </row>
    <row r="587" spans="17:27" ht="13.8">
      <c r="Q587" s="296">
        <f t="shared" ref="Q587:Q593" si="9">Q586+1</f>
        <v>581</v>
      </c>
      <c r="R587" s="684" t="s">
        <v>3422</v>
      </c>
      <c r="S587" s="297" t="s">
        <v>3445</v>
      </c>
      <c r="T587" t="s">
        <v>959</v>
      </c>
      <c r="U587" s="296" t="s">
        <v>3466</v>
      </c>
      <c r="V587" s="296" t="s">
        <v>959</v>
      </c>
      <c r="W587" s="297" t="s">
        <v>959</v>
      </c>
      <c r="X587" s="239" t="s">
        <v>347</v>
      </c>
      <c r="Y587" s="239" t="s">
        <v>3520</v>
      </c>
      <c r="AA587" s="299">
        <v>637229</v>
      </c>
    </row>
    <row r="588" spans="17:27" ht="13.8">
      <c r="Q588" s="296">
        <f t="shared" si="9"/>
        <v>582</v>
      </c>
      <c r="R588" s="684" t="s">
        <v>3423</v>
      </c>
      <c r="S588" s="297" t="s">
        <v>3446</v>
      </c>
      <c r="T588" t="s">
        <v>1038</v>
      </c>
      <c r="U588" s="296" t="s">
        <v>3467</v>
      </c>
      <c r="V588" s="296" t="s">
        <v>1038</v>
      </c>
      <c r="W588" s="297" t="s">
        <v>1038</v>
      </c>
      <c r="X588" s="239" t="s">
        <v>347</v>
      </c>
      <c r="Y588" s="239" t="s">
        <v>3520</v>
      </c>
      <c r="AA588" s="299">
        <v>524118</v>
      </c>
    </row>
    <row r="589" spans="17:27" ht="13.8">
      <c r="Q589" s="296">
        <f t="shared" si="9"/>
        <v>583</v>
      </c>
      <c r="R589" s="684" t="s">
        <v>3424</v>
      </c>
      <c r="S589" s="297" t="s">
        <v>3447</v>
      </c>
      <c r="T589" t="s">
        <v>918</v>
      </c>
      <c r="U589" s="296" t="s">
        <v>3468</v>
      </c>
      <c r="V589" s="296" t="s">
        <v>918</v>
      </c>
      <c r="W589" s="297" t="s">
        <v>918</v>
      </c>
      <c r="X589" s="239" t="s">
        <v>347</v>
      </c>
      <c r="Y589" s="239" t="s">
        <v>3520</v>
      </c>
      <c r="AA589" s="299">
        <v>64837</v>
      </c>
    </row>
    <row r="590" spans="17:27" ht="13.8">
      <c r="Q590" s="296">
        <f t="shared" si="9"/>
        <v>584</v>
      </c>
      <c r="R590" s="684" t="s">
        <v>3425</v>
      </c>
      <c r="S590" s="297" t="s">
        <v>3448</v>
      </c>
      <c r="T590" t="s">
        <v>986</v>
      </c>
      <c r="U590" s="296" t="s">
        <v>3469</v>
      </c>
      <c r="V590" s="296" t="s">
        <v>986</v>
      </c>
      <c r="W590" s="297" t="s">
        <v>986</v>
      </c>
      <c r="X590" s="239" t="s">
        <v>347</v>
      </c>
      <c r="Y590" s="239" t="s">
        <v>3520</v>
      </c>
      <c r="AA590" s="299">
        <v>345361</v>
      </c>
    </row>
    <row r="591" spans="17:27" ht="13.8">
      <c r="Q591" s="296">
        <f t="shared" si="9"/>
        <v>585</v>
      </c>
      <c r="R591" s="684" t="s">
        <v>3426</v>
      </c>
      <c r="S591" s="297" t="s">
        <v>3449</v>
      </c>
      <c r="T591" t="s">
        <v>929</v>
      </c>
      <c r="U591" s="296" t="s">
        <v>3470</v>
      </c>
      <c r="V591" s="296" t="s">
        <v>929</v>
      </c>
      <c r="W591" s="297" t="s">
        <v>929</v>
      </c>
      <c r="X591" s="239" t="s">
        <v>347</v>
      </c>
      <c r="Y591" s="239" t="s">
        <v>3520</v>
      </c>
      <c r="AA591" s="299">
        <v>144221</v>
      </c>
    </row>
    <row r="592" spans="17:27" ht="13.8">
      <c r="Q592" s="296">
        <f t="shared" si="9"/>
        <v>586</v>
      </c>
      <c r="R592" s="684" t="s">
        <v>3427</v>
      </c>
      <c r="S592" s="297" t="s">
        <v>3450</v>
      </c>
      <c r="T592" t="s">
        <v>1006</v>
      </c>
      <c r="U592" s="296" t="s">
        <v>3471</v>
      </c>
      <c r="V592" s="296" t="s">
        <v>1006</v>
      </c>
      <c r="W592" s="297" t="s">
        <v>1006</v>
      </c>
      <c r="X592" s="239" t="s">
        <v>347</v>
      </c>
      <c r="Y592" s="239" t="s">
        <v>3520</v>
      </c>
      <c r="AA592" s="299">
        <v>575345</v>
      </c>
    </row>
    <row r="593" spans="17:27" ht="13.8">
      <c r="Q593" s="296">
        <f t="shared" si="9"/>
        <v>587</v>
      </c>
      <c r="R593" s="684" t="s">
        <v>3428</v>
      </c>
      <c r="S593" s="297" t="s">
        <v>3451</v>
      </c>
      <c r="T593" t="s">
        <v>922</v>
      </c>
      <c r="U593" s="296" t="s">
        <v>3472</v>
      </c>
      <c r="V593" s="296" t="s">
        <v>922</v>
      </c>
      <c r="W593" s="297" t="s">
        <v>922</v>
      </c>
      <c r="X593" s="239" t="s">
        <v>347</v>
      </c>
      <c r="Y593" s="239" t="s">
        <v>3520</v>
      </c>
      <c r="AA593" s="299">
        <v>109632</v>
      </c>
    </row>
  </sheetData>
  <sheetProtection algorithmName="SHA-512" hashValue="Edf2ZYrRv0fo2kq19z+thwXfVhV8DAYJStR73U44CBqZRlbHq9aoaL+46zPn/0We5XbAIsGMtVGykuW7fcTJzg==" saltValue="mCEoNmwrY8mWfHZXg0sWzg==" spinCount="100000" sheet="1" objects="1" scenarios="1"/>
  <mergeCells count="5">
    <mergeCell ref="D6:E6"/>
    <mergeCell ref="D61:E61"/>
    <mergeCell ref="C3:F3"/>
    <mergeCell ref="C2:F2"/>
    <mergeCell ref="G67:I69"/>
  </mergeCells>
  <phoneticPr fontId="0" type="noConversion"/>
  <conditionalFormatting sqref="S1:S1048576">
    <cfRule type="duplicateValues" dxfId="19" priority="1"/>
  </conditionalFormatting>
  <dataValidations count="4">
    <dataValidation type="list" allowBlank="1" showInputMessage="1" showErrorMessage="1" sqref="E52" xr:uid="{496B7C07-7024-47DE-909E-75276A28ECDC}">
      <formula1>"0,1,2,3,4,5,6"</formula1>
    </dataValidation>
    <dataValidation type="list" allowBlank="1" showInputMessage="1" showErrorMessage="1" sqref="E62:E71" xr:uid="{D7C538CF-96C9-4103-8034-2A7AF9E5FC14}">
      <formula1>"Standard, Expanded"</formula1>
    </dataValidation>
    <dataValidation type="list" allowBlank="1" showInputMessage="1" showErrorMessage="1" sqref="C42" xr:uid="{DAC31CBC-F8BE-4AC5-9826-A68516838849}">
      <formula1>"Calendar, State Fiscal Year"</formula1>
    </dataValidation>
    <dataValidation type="list" allowBlank="1" showInputMessage="1" showErrorMessage="1" sqref="F7" xr:uid="{72B7BFBF-6878-40FB-A112-6C819A87CC46}">
      <formula1>"Municipality,County"</formula1>
    </dataValidation>
  </dataValidations>
  <pageMargins left="0.5" right="0.5" top="0.5" bottom="0.5" header="0.5" footer="0.5"/>
  <pageSetup paperSize="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9937" r:id="rId4" name="Drop Down 1">
              <controlPr defaultSize="0" autoLine="0" autoPict="0">
                <anchor moveWithCells="1">
                  <from>
                    <xdr:col>3</xdr:col>
                    <xdr:colOff>22860</xdr:colOff>
                    <xdr:row>7</xdr:row>
                    <xdr:rowOff>7620</xdr:rowOff>
                  </from>
                  <to>
                    <xdr:col>4</xdr:col>
                    <xdr:colOff>0</xdr:colOff>
                    <xdr:row>7</xdr:row>
                    <xdr:rowOff>251460</xdr:rowOff>
                  </to>
                </anchor>
              </controlPr>
            </control>
          </mc:Choice>
        </mc:AlternateContent>
        <mc:AlternateContent xmlns:mc="http://schemas.openxmlformats.org/markup-compatibility/2006">
          <mc:Choice Requires="x14">
            <control shapeId="39939" r:id="rId5" name="Button 3">
              <controlPr defaultSize="0" print="0" autoFill="0" autoPict="0" macro="[0]!Sheet4.ImportDataAFS">
                <anchor moveWithCells="1" sizeWithCells="1">
                  <from>
                    <xdr:col>7</xdr:col>
                    <xdr:colOff>83820</xdr:colOff>
                    <xdr:row>2</xdr:row>
                    <xdr:rowOff>175260</xdr:rowOff>
                  </from>
                  <to>
                    <xdr:col>7</xdr:col>
                    <xdr:colOff>1783080</xdr:colOff>
                    <xdr:row>6</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B2:I54"/>
  <sheetViews>
    <sheetView zoomScaleNormal="100" workbookViewId="0">
      <selection activeCell="F7" sqref="F7"/>
    </sheetView>
  </sheetViews>
  <sheetFormatPr defaultColWidth="9.109375" defaultRowHeight="13.2"/>
  <cols>
    <col min="1" max="4" width="4.6640625" customWidth="1"/>
    <col min="5" max="5" width="63.6640625" customWidth="1"/>
    <col min="6" max="6" width="16.5546875" style="283" customWidth="1"/>
    <col min="7" max="7" width="11.109375" bestFit="1" customWidth="1"/>
    <col min="8" max="8" width="39.6640625" bestFit="1" customWidth="1"/>
  </cols>
  <sheetData>
    <row r="2" spans="2:9" ht="22.8">
      <c r="B2" s="1213" t="str">
        <f>"CASH  RECONCILIATION "&amp;IF('KEY INPUTS'!C42="State Fiscal Year"," JUNE 30, "&amp;'KEY INPUTS'!D33&amp;" (cont'd)  "," DECEMBER 31, "&amp;'KEY INPUTS'!D34&amp;" (cont'd)  ")&amp;""</f>
        <v xml:space="preserve">CASH  RECONCILIATION  DECEMBER 31, 2024 (cont'd)  </v>
      </c>
      <c r="C2" s="1213"/>
      <c r="D2" s="1213"/>
      <c r="E2" s="1213"/>
      <c r="F2" s="1213"/>
      <c r="G2" s="39"/>
      <c r="H2" s="39"/>
      <c r="I2" s="39"/>
    </row>
    <row r="3" spans="2:9">
      <c r="B3" s="281" t="s">
        <v>3560</v>
      </c>
    </row>
    <row r="4" spans="2:9" ht="16.2" thickBot="1">
      <c r="B4" s="1132" t="s">
        <v>631</v>
      </c>
      <c r="C4" s="1132"/>
      <c r="D4" s="1132"/>
      <c r="E4" s="1132"/>
      <c r="F4" s="1132"/>
    </row>
    <row r="5" spans="2:9" ht="21" customHeight="1" thickTop="1">
      <c r="B5" s="22"/>
      <c r="C5" s="22"/>
      <c r="D5" s="22"/>
      <c r="E5" s="22"/>
      <c r="F5" s="279"/>
    </row>
    <row r="6" spans="2:9" ht="21" customHeight="1">
      <c r="B6" s="418" t="s">
        <v>3779</v>
      </c>
      <c r="C6" s="418"/>
      <c r="D6" s="418"/>
      <c r="E6" s="418"/>
      <c r="F6" s="419">
        <v>2705505.06</v>
      </c>
    </row>
    <row r="7" spans="2:9" ht="21" customHeight="1">
      <c r="B7" s="418" t="s">
        <v>3780</v>
      </c>
      <c r="C7" s="418"/>
      <c r="D7" s="418"/>
      <c r="E7" s="418"/>
      <c r="F7" s="419">
        <v>1748443.72</v>
      </c>
      <c r="G7" s="204"/>
    </row>
    <row r="8" spans="2:9" ht="21" customHeight="1">
      <c r="B8" s="418" t="s">
        <v>3781</v>
      </c>
      <c r="C8" s="418"/>
      <c r="D8" s="418"/>
      <c r="E8" s="418"/>
      <c r="F8" s="419">
        <v>4272.51</v>
      </c>
      <c r="G8" s="204"/>
    </row>
    <row r="9" spans="2:9" ht="21" customHeight="1">
      <c r="B9" s="418" t="s">
        <v>3782</v>
      </c>
      <c r="C9" s="418"/>
      <c r="D9" s="418"/>
      <c r="E9" s="418"/>
      <c r="F9" s="419">
        <v>154172.38</v>
      </c>
      <c r="G9" s="204"/>
      <c r="H9" s="294"/>
    </row>
    <row r="10" spans="2:9" ht="21" customHeight="1">
      <c r="B10" s="418" t="s">
        <v>3783</v>
      </c>
      <c r="C10" s="418"/>
      <c r="D10" s="418"/>
      <c r="E10" s="418"/>
      <c r="F10" s="419">
        <v>20121.87</v>
      </c>
      <c r="G10" s="204"/>
    </row>
    <row r="11" spans="2:9" ht="21" customHeight="1">
      <c r="B11" s="418" t="s">
        <v>3784</v>
      </c>
      <c r="C11" s="418"/>
      <c r="D11" s="418"/>
      <c r="E11" s="418"/>
      <c r="F11" s="419">
        <v>26836.82</v>
      </c>
      <c r="G11" s="204"/>
    </row>
    <row r="12" spans="2:9" ht="21" customHeight="1">
      <c r="B12" s="418" t="s">
        <v>3785</v>
      </c>
      <c r="C12" s="418"/>
      <c r="D12" s="418"/>
      <c r="E12" s="418"/>
      <c r="F12" s="419">
        <v>7652.99</v>
      </c>
      <c r="G12" s="204"/>
      <c r="I12" s="281"/>
    </row>
    <row r="13" spans="2:9" ht="21" customHeight="1">
      <c r="B13" s="418" t="s">
        <v>3786</v>
      </c>
      <c r="C13" s="418"/>
      <c r="D13" s="418"/>
      <c r="E13" s="418"/>
      <c r="F13" s="419">
        <v>334670.98</v>
      </c>
      <c r="G13" s="204"/>
    </row>
    <row r="14" spans="2:9" ht="21" customHeight="1">
      <c r="B14" s="418" t="s">
        <v>3787</v>
      </c>
      <c r="C14" s="418"/>
      <c r="D14" s="418"/>
      <c r="E14" s="418"/>
      <c r="F14" s="419">
        <v>549586.01</v>
      </c>
      <c r="G14" s="204"/>
    </row>
    <row r="15" spans="2:9" ht="21" customHeight="1">
      <c r="B15" s="418" t="s">
        <v>3788</v>
      </c>
      <c r="C15" s="418"/>
      <c r="D15" s="418"/>
      <c r="E15" s="418"/>
      <c r="F15" s="419">
        <v>46971.57</v>
      </c>
      <c r="G15" s="238"/>
    </row>
    <row r="16" spans="2:9" ht="21" customHeight="1">
      <c r="B16" s="418" t="s">
        <v>3789</v>
      </c>
      <c r="C16" s="418"/>
      <c r="D16" s="418"/>
      <c r="E16" s="418"/>
      <c r="F16" s="419">
        <v>998932.7</v>
      </c>
      <c r="G16" s="204"/>
    </row>
    <row r="17" spans="2:9" ht="21" customHeight="1">
      <c r="B17" s="418" t="s">
        <v>3790</v>
      </c>
      <c r="C17" s="418"/>
      <c r="D17" s="418"/>
      <c r="E17" s="418"/>
      <c r="F17" s="419">
        <v>710848.5</v>
      </c>
      <c r="G17" s="204"/>
    </row>
    <row r="18" spans="2:9" ht="21" customHeight="1">
      <c r="B18" s="418"/>
      <c r="C18" s="418"/>
      <c r="D18" s="418"/>
      <c r="E18" s="418"/>
      <c r="F18" s="419"/>
      <c r="G18" s="204"/>
      <c r="H18" s="239"/>
      <c r="I18" s="204"/>
    </row>
    <row r="19" spans="2:9" ht="21" customHeight="1">
      <c r="B19" s="418"/>
      <c r="C19" s="418"/>
      <c r="D19" s="418"/>
      <c r="E19" s="418"/>
      <c r="F19" s="419"/>
      <c r="G19" s="204"/>
    </row>
    <row r="20" spans="2:9" ht="21" customHeight="1">
      <c r="B20" s="418"/>
      <c r="C20" s="418"/>
      <c r="D20" s="418"/>
      <c r="E20" s="418"/>
      <c r="F20" s="419"/>
      <c r="G20" s="204"/>
      <c r="H20" s="239"/>
    </row>
    <row r="21" spans="2:9" ht="21" customHeight="1">
      <c r="B21" s="418"/>
      <c r="C21" s="418"/>
      <c r="D21" s="418"/>
      <c r="E21" s="418"/>
      <c r="F21" s="419"/>
      <c r="G21" s="204"/>
      <c r="H21" s="239"/>
      <c r="I21" s="281"/>
    </row>
    <row r="22" spans="2:9" ht="21" customHeight="1">
      <c r="B22" s="418"/>
      <c r="C22" s="418"/>
      <c r="D22" s="418"/>
      <c r="E22" s="418"/>
      <c r="F22" s="419"/>
    </row>
    <row r="23" spans="2:9" ht="21" customHeight="1">
      <c r="B23" s="418"/>
      <c r="C23" s="418"/>
      <c r="D23" s="418"/>
      <c r="E23" s="418"/>
      <c r="F23" s="419"/>
    </row>
    <row r="24" spans="2:9" ht="21" customHeight="1">
      <c r="B24" s="418"/>
      <c r="C24" s="418"/>
      <c r="D24" s="418"/>
      <c r="E24" s="418"/>
      <c r="F24" s="419"/>
      <c r="G24" s="238"/>
      <c r="H24" s="36"/>
    </row>
    <row r="25" spans="2:9" ht="21" customHeight="1">
      <c r="B25" s="418"/>
      <c r="C25" s="418"/>
      <c r="D25" s="418"/>
      <c r="E25" s="418"/>
      <c r="F25" s="419"/>
    </row>
    <row r="26" spans="2:9" ht="21" customHeight="1">
      <c r="B26" s="418"/>
      <c r="C26" s="418"/>
      <c r="D26" s="418"/>
      <c r="E26" s="418"/>
      <c r="F26" s="419"/>
    </row>
    <row r="27" spans="2:9" ht="21" customHeight="1">
      <c r="B27" s="418"/>
      <c r="C27" s="418"/>
      <c r="D27" s="418"/>
      <c r="E27" s="418"/>
      <c r="F27" s="419"/>
    </row>
    <row r="28" spans="2:9" ht="21" customHeight="1">
      <c r="B28" s="418"/>
      <c r="C28" s="418"/>
      <c r="D28" s="418"/>
      <c r="E28" s="418"/>
      <c r="F28" s="419"/>
    </row>
    <row r="29" spans="2:9" ht="21" customHeight="1">
      <c r="B29" s="418"/>
      <c r="C29" s="418"/>
      <c r="D29" s="418"/>
      <c r="E29" s="418"/>
      <c r="F29" s="419"/>
    </row>
    <row r="30" spans="2:9" ht="21" customHeight="1">
      <c r="B30" s="418"/>
      <c r="C30" s="418"/>
      <c r="D30" s="418"/>
      <c r="E30" s="418"/>
      <c r="F30" s="419"/>
    </row>
    <row r="31" spans="2:9" ht="21" customHeight="1">
      <c r="B31" s="418"/>
      <c r="C31" s="418"/>
      <c r="D31" s="418"/>
      <c r="E31" s="418"/>
      <c r="F31" s="419"/>
    </row>
    <row r="32" spans="2:9" ht="21" customHeight="1">
      <c r="B32" s="418"/>
      <c r="C32" s="418"/>
      <c r="D32" s="418"/>
      <c r="E32" s="418"/>
      <c r="F32" s="419"/>
    </row>
    <row r="33" spans="2:6" ht="21" customHeight="1">
      <c r="B33" s="418"/>
      <c r="C33" s="418"/>
      <c r="D33" s="418"/>
      <c r="E33" s="418"/>
      <c r="F33" s="419"/>
    </row>
    <row r="34" spans="2:6" ht="21" customHeight="1">
      <c r="B34" s="418"/>
      <c r="C34" s="418"/>
      <c r="D34" s="418"/>
      <c r="E34" s="418"/>
      <c r="F34" s="419"/>
    </row>
    <row r="35" spans="2:6" ht="21" customHeight="1">
      <c r="B35" s="418"/>
      <c r="C35" s="418"/>
      <c r="D35" s="418"/>
      <c r="E35" s="418"/>
      <c r="F35" s="419"/>
    </row>
    <row r="36" spans="2:6" ht="21" customHeight="1">
      <c r="B36" s="418"/>
      <c r="C36" s="418"/>
      <c r="D36" s="418"/>
      <c r="E36" s="418"/>
      <c r="F36" s="419"/>
    </row>
    <row r="37" spans="2:6" ht="21" customHeight="1">
      <c r="B37" s="418"/>
      <c r="C37" s="418"/>
      <c r="D37" s="418"/>
      <c r="E37" s="418"/>
      <c r="F37" s="419"/>
    </row>
    <row r="38" spans="2:6" ht="21" customHeight="1">
      <c r="B38" s="418"/>
      <c r="C38" s="418"/>
      <c r="D38" s="418"/>
      <c r="E38" s="418"/>
      <c r="F38" s="419"/>
    </row>
    <row r="39" spans="2:6" ht="21" customHeight="1">
      <c r="B39" s="418"/>
      <c r="C39" s="418"/>
      <c r="D39" s="418"/>
      <c r="E39" s="418"/>
      <c r="F39" s="419"/>
    </row>
    <row r="40" spans="2:6" ht="21" customHeight="1">
      <c r="B40" s="418"/>
      <c r="C40" s="418"/>
      <c r="D40" s="418"/>
      <c r="E40" s="418"/>
      <c r="F40" s="419"/>
    </row>
    <row r="41" spans="2:6" ht="21" customHeight="1">
      <c r="B41" s="418"/>
      <c r="C41" s="418"/>
      <c r="D41" s="418"/>
      <c r="E41" s="418"/>
      <c r="F41" s="419"/>
    </row>
    <row r="42" spans="2:6" ht="21" customHeight="1">
      <c r="B42" s="418"/>
      <c r="C42" s="418"/>
      <c r="D42" s="418"/>
      <c r="E42" s="418"/>
      <c r="F42" s="419"/>
    </row>
    <row r="43" spans="2:6" ht="21" customHeight="1" thickBot="1">
      <c r="B43" s="27"/>
      <c r="C43" s="264" t="s">
        <v>3255</v>
      </c>
      <c r="D43" s="27"/>
      <c r="E43" s="27"/>
      <c r="F43" s="282">
        <f>SUM(F5:F42)</f>
        <v>7308015.1100000003</v>
      </c>
    </row>
    <row r="44" spans="2:6" ht="13.8" thickTop="1"/>
    <row r="45" spans="2:6">
      <c r="B45" s="1174" t="s">
        <v>628</v>
      </c>
      <c r="C45" s="1174"/>
      <c r="D45" s="1174"/>
      <c r="E45" s="1174"/>
      <c r="F45" s="1174"/>
    </row>
    <row r="46" spans="2:6">
      <c r="B46" s="1174" t="s">
        <v>632</v>
      </c>
      <c r="C46" s="1174"/>
      <c r="D46" s="1174"/>
      <c r="E46" s="1174"/>
      <c r="F46" s="1174"/>
    </row>
    <row r="47" spans="2:6">
      <c r="B47" s="1"/>
      <c r="C47" s="1"/>
      <c r="D47" s="1"/>
      <c r="E47" s="1"/>
      <c r="F47" s="284"/>
    </row>
    <row r="49" spans="2:6" ht="13.8">
      <c r="B49" s="1130" t="s">
        <v>633</v>
      </c>
      <c r="C49" s="1130"/>
      <c r="D49" s="1130"/>
      <c r="E49" s="1130"/>
      <c r="F49" s="1130"/>
    </row>
    <row r="50" spans="2:6">
      <c r="F50" s="285"/>
    </row>
    <row r="51" spans="2:6">
      <c r="F51" s="285"/>
    </row>
    <row r="54" spans="2:6">
      <c r="F54" s="285"/>
    </row>
  </sheetData>
  <sheetProtection algorithmName="SHA-512" hashValue="e8KswYGR1+UN6RVeNiIip2nf90d2BlWwOrgA8e8azGWXwJNF4o54yBUtr0blyDBl9ap2Pza6GFxZjNGsmAlseg==" saltValue="cStdiuN7pMXausM3BokiMA==" spinCount="100000" sheet="1" objects="1" scenarios="1"/>
  <mergeCells count="5">
    <mergeCell ref="B49:F49"/>
    <mergeCell ref="B4:F4"/>
    <mergeCell ref="B2:F2"/>
    <mergeCell ref="B45:F45"/>
    <mergeCell ref="B46:F46"/>
  </mergeCells>
  <phoneticPr fontId="0" type="noConversion"/>
  <pageMargins left="0.25" right="0.25" top="0.5" bottom="0.5" header="0.25" footer="0.25"/>
  <pageSetup paperSize="5" orientation="portrait" r:id="rId1"/>
  <headerFooter alignWithMargins="0"/>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58145-300A-4EB6-AD42-4A4C7F932E5C}">
  <sheetPr codeName="Sheet286">
    <tabColor theme="3" tint="0.79998168889431442"/>
  </sheetPr>
  <dimension ref="A1:U42"/>
  <sheetViews>
    <sheetView zoomScaleNormal="100" zoomScaleSheetLayoutView="80" workbookViewId="0">
      <selection activeCell="G7" sqref="G7"/>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"&amp;UPPER('KEY INPUTS'!D59)&amp;"  (UTILITY  CAPITAL  FUND)"</f>
        <v>SCHEDULE  OF  IMPROVEMENT  AUTHORIZATIONS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543"/>
      <c r="C9" s="518"/>
      <c r="D9" s="520"/>
      <c r="E9" s="454"/>
      <c r="F9" s="454"/>
      <c r="G9" s="454"/>
      <c r="H9" s="454"/>
      <c r="I9" s="454"/>
      <c r="J9" s="454"/>
      <c r="K9" s="454"/>
      <c r="L9" s="608"/>
      <c r="O9"/>
      <c r="P9"/>
      <c r="Q9"/>
      <c r="R9"/>
      <c r="S9"/>
      <c r="T9"/>
      <c r="U9"/>
    </row>
    <row r="10" spans="2:21" ht="21" customHeight="1">
      <c r="B10" s="544"/>
      <c r="C10" s="495"/>
      <c r="D10" s="499"/>
      <c r="E10" s="450"/>
      <c r="F10" s="450"/>
      <c r="G10" s="450"/>
      <c r="H10" s="450"/>
      <c r="I10" s="450"/>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50"/>
      <c r="J13" s="450"/>
      <c r="K13" s="451"/>
      <c r="L13" s="451"/>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3171</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3363</v>
      </c>
      <c r="E27" s="755">
        <f t="shared" ref="E27:L27" si="0">SUM(E9:E26)</f>
        <v>0</v>
      </c>
      <c r="F27" s="755">
        <f t="shared" si="0"/>
        <v>0</v>
      </c>
      <c r="G27" s="755">
        <f t="shared" si="0"/>
        <v>0</v>
      </c>
      <c r="H27" s="755">
        <f t="shared" si="0"/>
        <v>0</v>
      </c>
      <c r="I27" s="755">
        <f t="shared" si="0"/>
        <v>0</v>
      </c>
      <c r="J27" s="755">
        <f t="shared" si="0"/>
        <v>0</v>
      </c>
      <c r="K27" s="755">
        <f t="shared" si="0"/>
        <v>0</v>
      </c>
      <c r="L27" s="797">
        <f t="shared" si="0"/>
        <v>0</v>
      </c>
    </row>
    <row r="28" spans="1:21" ht="13.5" customHeight="1" thickTop="1">
      <c r="B28" s="403"/>
      <c r="C28" s="309" t="s">
        <v>521</v>
      </c>
      <c r="D28" s="393"/>
      <c r="K28" s="347"/>
      <c r="L28" s="347"/>
    </row>
    <row r="42" spans="11:12">
      <c r="K42" s="267" t="s">
        <v>3211</v>
      </c>
      <c r="L42" s="301">
        <f>K27+L27</f>
        <v>0</v>
      </c>
    </row>
  </sheetData>
  <sheetProtection algorithmName="SHA-512" hashValue="XNMbawzQE2mjEyY6XJv4gmsZ2aQelJsyJjHUhVdqO2F+4Rptxkkyh2RZaC+SvCmIoS/qzmzERKCzrcycBEDS7g==" saltValue="kiGY2w9fwevmEM0kPTnxZ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FDD2B-465F-4D1E-A3AE-53671532F276}">
  <sheetPr codeName="Sheet287">
    <tabColor theme="3" tint="0.79998168889431442"/>
  </sheetPr>
  <dimension ref="A1:U42"/>
  <sheetViews>
    <sheetView zoomScaleNormal="100" zoomScaleSheetLayoutView="80" workbookViewId="0">
      <selection activeCell="G7" sqref="G7"/>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"&amp;UPPER('KEY INPUTS'!D59)&amp;"  (UTILITY  CAPITAL  FUND)"</f>
        <v>SCHEDULE  OF  IMPROVEMENT  AUTHORIZATIONS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31" t="s">
        <v>3263</v>
      </c>
      <c r="C9" s="313"/>
      <c r="D9" s="795"/>
      <c r="E9" s="887">
        <f>+'52-Utility6'!E27</f>
        <v>0</v>
      </c>
      <c r="F9" s="887">
        <f>+'52-Utility6'!F27</f>
        <v>0</v>
      </c>
      <c r="G9" s="887">
        <f>+'52-Utility6'!G27</f>
        <v>0</v>
      </c>
      <c r="H9" s="887">
        <f>+'52-Utility6'!H27</f>
        <v>0</v>
      </c>
      <c r="I9" s="887">
        <f>+'52-Utility6'!I27</f>
        <v>0</v>
      </c>
      <c r="J9" s="887">
        <f>+'52-Utility6'!J27</f>
        <v>0</v>
      </c>
      <c r="K9" s="887">
        <f>+'52-Utility6'!K27</f>
        <v>0</v>
      </c>
      <c r="L9" s="929">
        <f>+'52-Utility6'!L27</f>
        <v>0</v>
      </c>
      <c r="O9"/>
      <c r="P9"/>
      <c r="Q9"/>
      <c r="R9"/>
      <c r="S9"/>
      <c r="T9"/>
      <c r="U9"/>
    </row>
    <row r="10" spans="2:21" ht="21" customHeight="1">
      <c r="B10" s="544"/>
      <c r="C10" s="495"/>
      <c r="D10" s="499"/>
      <c r="E10" s="450"/>
      <c r="F10" s="450"/>
      <c r="G10" s="450"/>
      <c r="H10" s="450"/>
      <c r="I10" s="450"/>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50"/>
      <c r="J13" s="450"/>
      <c r="K13" s="451"/>
      <c r="L13" s="451"/>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3356</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3363</v>
      </c>
      <c r="E27" s="755">
        <f t="shared" ref="E27:L27" si="0">SUM(E9:E26)</f>
        <v>0</v>
      </c>
      <c r="F27" s="755">
        <f t="shared" si="0"/>
        <v>0</v>
      </c>
      <c r="G27" s="755">
        <f t="shared" si="0"/>
        <v>0</v>
      </c>
      <c r="H27" s="755">
        <f t="shared" si="0"/>
        <v>0</v>
      </c>
      <c r="I27" s="755">
        <f t="shared" si="0"/>
        <v>0</v>
      </c>
      <c r="J27" s="755">
        <f t="shared" si="0"/>
        <v>0</v>
      </c>
      <c r="K27" s="755">
        <f t="shared" si="0"/>
        <v>0</v>
      </c>
      <c r="L27" s="797">
        <f t="shared" si="0"/>
        <v>0</v>
      </c>
    </row>
    <row r="28" spans="1:21" ht="13.5" customHeight="1" thickTop="1">
      <c r="B28" s="403"/>
      <c r="C28" s="309" t="s">
        <v>521</v>
      </c>
      <c r="D28" s="393"/>
      <c r="K28" s="347"/>
      <c r="L28" s="347"/>
    </row>
    <row r="42" spans="11:12">
      <c r="K42" s="267" t="s">
        <v>3211</v>
      </c>
      <c r="L42" s="301">
        <f>K27+L27</f>
        <v>0</v>
      </c>
    </row>
  </sheetData>
  <sheetProtection algorithmName="SHA-512" hashValue="zjdH1QHcghq4sLD4+u4EiU8xuOcfxxWnUIzLtEDG24vtmQaGrA1w50bDODj5v5EzmaKiVv/vEwgmY4qZ2Zsp/g==" saltValue="umzxn+UF3mFbj3Run3Gkh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027AF-C1CA-4433-90F9-7248FBEE8D75}">
  <sheetPr codeName="Sheet288">
    <tabColor theme="3" tint="0.79998168889431442"/>
  </sheetPr>
  <dimension ref="A1:U42"/>
  <sheetViews>
    <sheetView zoomScaleNormal="100" zoomScaleSheetLayoutView="80" workbookViewId="0">
      <selection activeCell="H10" sqref="H10"/>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"&amp;UPPER('KEY INPUTS'!D59)&amp;"  (UTILITY  CAPITAL  FUND)"</f>
        <v>SCHEDULE  OF  IMPROVEMENT  AUTHORIZATIONS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31" t="s">
        <v>3263</v>
      </c>
      <c r="C9" s="313"/>
      <c r="D9" s="795"/>
      <c r="E9" s="887">
        <f>+'52.1-Utility6'!E27</f>
        <v>0</v>
      </c>
      <c r="F9" s="887">
        <f>+'52.1-Utility6'!F27</f>
        <v>0</v>
      </c>
      <c r="G9" s="887">
        <f>+'52.1-Utility6'!G27</f>
        <v>0</v>
      </c>
      <c r="H9" s="887">
        <f>+'52.1-Utility6'!H27</f>
        <v>0</v>
      </c>
      <c r="I9" s="887">
        <f>+'52.1-Utility6'!I27</f>
        <v>0</v>
      </c>
      <c r="J9" s="887">
        <f>+'52.1-Utility6'!J27</f>
        <v>0</v>
      </c>
      <c r="K9" s="887">
        <f>+'52.1-Utility6'!K27</f>
        <v>0</v>
      </c>
      <c r="L9" s="929">
        <f>+'52.1-Utility6'!L27</f>
        <v>0</v>
      </c>
      <c r="O9"/>
      <c r="P9"/>
      <c r="Q9"/>
      <c r="R9"/>
      <c r="S9"/>
      <c r="T9"/>
      <c r="U9"/>
    </row>
    <row r="10" spans="2:21" ht="21" customHeight="1">
      <c r="B10" s="544"/>
      <c r="C10" s="495"/>
      <c r="D10" s="499"/>
      <c r="E10" s="450"/>
      <c r="F10" s="450"/>
      <c r="G10" s="450"/>
      <c r="H10" s="450"/>
      <c r="I10" s="450"/>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50"/>
      <c r="J13" s="450"/>
      <c r="K13" s="451"/>
      <c r="L13" s="451"/>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3357</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3363</v>
      </c>
      <c r="E27" s="755">
        <f t="shared" ref="E27:L27" si="0">SUM(E9:E26)</f>
        <v>0</v>
      </c>
      <c r="F27" s="755">
        <f t="shared" si="0"/>
        <v>0</v>
      </c>
      <c r="G27" s="755">
        <f t="shared" si="0"/>
        <v>0</v>
      </c>
      <c r="H27" s="755">
        <f t="shared" si="0"/>
        <v>0</v>
      </c>
      <c r="I27" s="755">
        <f t="shared" si="0"/>
        <v>0</v>
      </c>
      <c r="J27" s="755">
        <f t="shared" si="0"/>
        <v>0</v>
      </c>
      <c r="K27" s="755">
        <f t="shared" si="0"/>
        <v>0</v>
      </c>
      <c r="L27" s="797">
        <f t="shared" si="0"/>
        <v>0</v>
      </c>
    </row>
    <row r="28" spans="1:21" ht="13.5" customHeight="1" thickTop="1">
      <c r="B28" s="403"/>
      <c r="C28" s="309" t="s">
        <v>521</v>
      </c>
      <c r="D28" s="393"/>
      <c r="K28" s="347"/>
      <c r="L28" s="347"/>
    </row>
    <row r="42" spans="11:12">
      <c r="K42" s="267" t="s">
        <v>3211</v>
      </c>
      <c r="L42" s="301">
        <f>K27+L27</f>
        <v>0</v>
      </c>
    </row>
  </sheetData>
  <sheetProtection algorithmName="SHA-512" hashValue="9bFRrs0Wg5UTgsgUr3OJXlHQ0gByeb32JqMr6SH6FsBlEe5S4g5oRYspeBjOflhAiNJ6mSR9nmLJSLCNUzi6PA==" saltValue="nAhClZ9I99zG7ZoV2ZEQr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142A0-5753-4C39-A5D8-9E5C5AD4AB5D}">
  <sheetPr codeName="Sheet289">
    <tabColor theme="3" tint="0.79998168889431442"/>
  </sheetPr>
  <dimension ref="A1:U42"/>
  <sheetViews>
    <sheetView zoomScaleNormal="100" zoomScaleSheetLayoutView="80" workbookViewId="0">
      <selection activeCell="G7" sqref="G7"/>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"&amp;UPPER('KEY INPUTS'!D59)&amp;"  (UTILITY  CAPITAL  FUND)"</f>
        <v>SCHEDULE  OF  IMPROVEMENT  AUTHORIZATIONS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31" t="s">
        <v>3263</v>
      </c>
      <c r="C9" s="313"/>
      <c r="D9" s="795"/>
      <c r="E9" s="887">
        <f>+'52.2-Utility6'!E27</f>
        <v>0</v>
      </c>
      <c r="F9" s="887">
        <f>+'52.2-Utility6'!F27</f>
        <v>0</v>
      </c>
      <c r="G9" s="887">
        <f>+'52.2-Utility6'!G27</f>
        <v>0</v>
      </c>
      <c r="H9" s="887">
        <f>+'52.2-Utility6'!H27</f>
        <v>0</v>
      </c>
      <c r="I9" s="887">
        <f>+'52.2-Utility6'!I27</f>
        <v>0</v>
      </c>
      <c r="J9" s="887">
        <f>+'52.2-Utility6'!J27</f>
        <v>0</v>
      </c>
      <c r="K9" s="887">
        <f>+'52.2-Utility6'!K27</f>
        <v>0</v>
      </c>
      <c r="L9" s="929">
        <f>+'52.2-Utility6'!L27</f>
        <v>0</v>
      </c>
      <c r="O9"/>
      <c r="P9"/>
      <c r="Q9"/>
      <c r="R9"/>
      <c r="S9"/>
      <c r="T9"/>
      <c r="U9"/>
    </row>
    <row r="10" spans="2:21" ht="21" customHeight="1">
      <c r="B10" s="544"/>
      <c r="C10" s="495"/>
      <c r="D10" s="499"/>
      <c r="E10" s="450"/>
      <c r="F10" s="450"/>
      <c r="G10" s="450"/>
      <c r="H10" s="450"/>
      <c r="I10" s="450"/>
      <c r="J10" s="450"/>
      <c r="K10" s="451"/>
      <c r="L10" s="451"/>
      <c r="O10" s="294"/>
      <c r="P10"/>
      <c r="Q10"/>
      <c r="R10"/>
      <c r="S10"/>
      <c r="T10"/>
      <c r="U10"/>
    </row>
    <row r="11" spans="2:21" ht="21" customHeight="1">
      <c r="B11" s="545"/>
      <c r="C11" s="495"/>
      <c r="D11" s="499"/>
      <c r="E11" s="450"/>
      <c r="F11" s="450"/>
      <c r="G11" s="450"/>
      <c r="H11" s="450"/>
      <c r="I11" s="450"/>
      <c r="J11" s="450"/>
      <c r="K11" s="451"/>
      <c r="L11" s="451"/>
      <c r="O11"/>
      <c r="P11"/>
      <c r="Q11"/>
      <c r="R11"/>
      <c r="S11"/>
      <c r="T11"/>
      <c r="U11"/>
    </row>
    <row r="12" spans="2:21" ht="21" customHeight="1">
      <c r="B12" s="545"/>
      <c r="C12" s="495"/>
      <c r="D12" s="499"/>
      <c r="E12" s="450"/>
      <c r="F12" s="450"/>
      <c r="G12" s="450"/>
      <c r="H12" s="450"/>
      <c r="I12" s="291"/>
      <c r="J12" s="450"/>
      <c r="K12" s="451"/>
      <c r="L12" s="451"/>
      <c r="O12"/>
      <c r="P12"/>
      <c r="Q12"/>
      <c r="R12"/>
      <c r="S12"/>
      <c r="T12"/>
      <c r="U12"/>
    </row>
    <row r="13" spans="2:21" ht="21" customHeight="1">
      <c r="B13" s="545"/>
      <c r="C13" s="495"/>
      <c r="D13" s="499"/>
      <c r="E13" s="450"/>
      <c r="F13" s="450"/>
      <c r="G13" s="450"/>
      <c r="H13" s="450"/>
      <c r="I13" s="450"/>
      <c r="J13" s="450"/>
      <c r="K13" s="451"/>
      <c r="L13" s="451"/>
      <c r="O13"/>
      <c r="P13"/>
      <c r="Q13"/>
      <c r="R13"/>
      <c r="S13"/>
      <c r="T13"/>
      <c r="U13"/>
    </row>
    <row r="14" spans="2:21" ht="21" customHeight="1">
      <c r="B14" s="544"/>
      <c r="C14" s="495"/>
      <c r="D14" s="499"/>
      <c r="E14" s="450"/>
      <c r="F14" s="450"/>
      <c r="G14" s="450"/>
      <c r="H14" s="450"/>
      <c r="I14" s="450"/>
      <c r="J14" s="450"/>
      <c r="K14" s="451"/>
      <c r="L14" s="451"/>
      <c r="O14"/>
      <c r="P14"/>
      <c r="Q14"/>
      <c r="R14"/>
      <c r="S14"/>
      <c r="T14"/>
      <c r="U14"/>
    </row>
    <row r="15" spans="2:21" ht="21" customHeight="1">
      <c r="B15" s="544"/>
      <c r="C15" s="495"/>
      <c r="D15" s="499"/>
      <c r="E15" s="450"/>
      <c r="F15" s="450"/>
      <c r="G15" s="450"/>
      <c r="H15" s="450"/>
      <c r="I15" s="450"/>
      <c r="J15" s="450"/>
      <c r="K15" s="451"/>
      <c r="L15" s="451"/>
      <c r="O15"/>
      <c r="P15"/>
      <c r="Q15"/>
      <c r="R15"/>
      <c r="S15"/>
      <c r="T15"/>
      <c r="U15"/>
    </row>
    <row r="16" spans="2:21" ht="21" customHeight="1">
      <c r="B16" s="544"/>
      <c r="C16" s="495"/>
      <c r="D16" s="499"/>
      <c r="E16" s="453"/>
      <c r="F16" s="453"/>
      <c r="G16" s="453"/>
      <c r="H16" s="453"/>
      <c r="I16" s="453"/>
      <c r="J16" s="453"/>
      <c r="K16" s="451"/>
      <c r="L16" s="451"/>
      <c r="O16"/>
      <c r="P16"/>
      <c r="Q16"/>
      <c r="R16"/>
      <c r="S16"/>
      <c r="T16"/>
      <c r="U16"/>
    </row>
    <row r="17" spans="1:21" ht="21" customHeight="1">
      <c r="A17" s="1367" t="s">
        <v>3358</v>
      </c>
      <c r="B17" s="544"/>
      <c r="C17" s="495"/>
      <c r="D17" s="499"/>
      <c r="E17" s="450"/>
      <c r="F17" s="450"/>
      <c r="G17" s="450"/>
      <c r="H17" s="450"/>
      <c r="I17" s="450"/>
      <c r="J17" s="450"/>
      <c r="K17" s="451"/>
      <c r="L17" s="451"/>
      <c r="O17"/>
      <c r="P17"/>
      <c r="Q17"/>
      <c r="R17"/>
      <c r="S17"/>
      <c r="T17"/>
      <c r="U17"/>
    </row>
    <row r="18" spans="1:21" ht="21" customHeight="1">
      <c r="A18" s="1367"/>
      <c r="B18" s="544"/>
      <c r="C18" s="495"/>
      <c r="D18" s="499"/>
      <c r="E18" s="450"/>
      <c r="F18" s="450"/>
      <c r="G18" s="450"/>
      <c r="H18" s="450"/>
      <c r="I18" s="450"/>
      <c r="J18" s="450"/>
      <c r="K18" s="451"/>
      <c r="L18" s="451"/>
      <c r="O18"/>
      <c r="P18"/>
      <c r="Q18"/>
      <c r="R18"/>
      <c r="S18"/>
      <c r="T18"/>
      <c r="U18"/>
    </row>
    <row r="19" spans="1:21" ht="21" customHeight="1">
      <c r="A19" s="1367"/>
      <c r="B19" s="544"/>
      <c r="C19" s="495"/>
      <c r="D19" s="499"/>
      <c r="E19" s="450"/>
      <c r="F19" s="450"/>
      <c r="G19" s="450"/>
      <c r="H19" s="450"/>
      <c r="I19" s="450"/>
      <c r="J19" s="450"/>
      <c r="K19" s="451"/>
      <c r="L19" s="451"/>
      <c r="O19"/>
      <c r="P19"/>
      <c r="Q19"/>
      <c r="R19"/>
      <c r="S19"/>
      <c r="T19"/>
      <c r="U19"/>
    </row>
    <row r="20" spans="1:21" ht="21" customHeight="1">
      <c r="A20" s="397"/>
      <c r="B20" s="544"/>
      <c r="C20" s="495"/>
      <c r="D20" s="499"/>
      <c r="E20" s="450"/>
      <c r="F20" s="450"/>
      <c r="G20" s="450"/>
      <c r="H20" s="450"/>
      <c r="I20" s="450"/>
      <c r="J20" s="450"/>
      <c r="K20" s="451"/>
      <c r="L20" s="451"/>
      <c r="O20"/>
      <c r="P20"/>
      <c r="Q20"/>
      <c r="R20"/>
      <c r="S20"/>
      <c r="T20"/>
      <c r="U20"/>
    </row>
    <row r="21" spans="1:21" ht="21" customHeight="1">
      <c r="A21" s="397"/>
      <c r="B21" s="544"/>
      <c r="C21" s="495"/>
      <c r="D21" s="499"/>
      <c r="E21" s="450"/>
      <c r="F21" s="450"/>
      <c r="G21" s="450"/>
      <c r="H21" s="450"/>
      <c r="I21" s="450"/>
      <c r="J21" s="450"/>
      <c r="K21" s="451"/>
      <c r="L21" s="451"/>
      <c r="O21"/>
      <c r="P21"/>
      <c r="Q21"/>
      <c r="R21"/>
      <c r="S21"/>
      <c r="T21"/>
      <c r="U21"/>
    </row>
    <row r="22" spans="1:21" ht="21" customHeight="1">
      <c r="A22" s="397"/>
      <c r="B22" s="544"/>
      <c r="C22" s="495"/>
      <c r="D22" s="499"/>
      <c r="E22" s="450"/>
      <c r="F22" s="450"/>
      <c r="G22" s="450"/>
      <c r="H22" s="450"/>
      <c r="I22" s="450"/>
      <c r="J22" s="450"/>
      <c r="K22" s="451"/>
      <c r="L22" s="451"/>
      <c r="O22"/>
      <c r="P22"/>
      <c r="Q22"/>
      <c r="R22"/>
      <c r="S22"/>
      <c r="T22"/>
      <c r="U22"/>
    </row>
    <row r="23" spans="1:21" ht="21" customHeight="1">
      <c r="B23" s="544"/>
      <c r="C23" s="495"/>
      <c r="D23" s="499"/>
      <c r="E23" s="450"/>
      <c r="F23" s="450"/>
      <c r="G23" s="450"/>
      <c r="H23" s="450"/>
      <c r="I23" s="450"/>
      <c r="J23" s="450"/>
      <c r="K23" s="451"/>
      <c r="L23" s="451"/>
      <c r="O23"/>
      <c r="P23"/>
      <c r="Q23"/>
      <c r="R23"/>
      <c r="S23"/>
      <c r="T23"/>
      <c r="U23"/>
    </row>
    <row r="24" spans="1:21" ht="21" customHeight="1">
      <c r="B24" s="544"/>
      <c r="C24" s="495"/>
      <c r="D24" s="499"/>
      <c r="E24" s="450"/>
      <c r="F24" s="450"/>
      <c r="G24" s="450"/>
      <c r="H24" s="450"/>
      <c r="I24" s="450"/>
      <c r="J24" s="450"/>
      <c r="K24" s="451"/>
      <c r="L24" s="451"/>
      <c r="O24"/>
      <c r="P24"/>
      <c r="Q24"/>
      <c r="R24"/>
      <c r="S24"/>
      <c r="T24"/>
      <c r="U24"/>
    </row>
    <row r="25" spans="1:21" ht="21" customHeight="1">
      <c r="B25" s="544"/>
      <c r="C25" s="495"/>
      <c r="D25" s="499"/>
      <c r="E25" s="450"/>
      <c r="F25" s="450"/>
      <c r="G25" s="450"/>
      <c r="H25" s="450"/>
      <c r="I25" s="450"/>
      <c r="J25" s="450"/>
      <c r="K25" s="451"/>
      <c r="L25" s="451"/>
    </row>
    <row r="26" spans="1:21" ht="21" customHeight="1" thickBot="1">
      <c r="B26" s="544"/>
      <c r="C26" s="495"/>
      <c r="D26" s="546"/>
      <c r="E26" s="475"/>
      <c r="F26" s="475"/>
      <c r="G26" s="475"/>
      <c r="H26" s="475"/>
      <c r="I26" s="475"/>
      <c r="J26" s="475"/>
      <c r="K26" s="475"/>
      <c r="L26" s="482"/>
    </row>
    <row r="27" spans="1:21" ht="21" customHeight="1" thickTop="1" thickBot="1">
      <c r="B27" s="401"/>
      <c r="C27" s="311"/>
      <c r="D27" s="380" t="s">
        <v>3363</v>
      </c>
      <c r="E27" s="755">
        <f t="shared" ref="E27:L27" si="0">SUM(E9:E26)</f>
        <v>0</v>
      </c>
      <c r="F27" s="755">
        <f t="shared" si="0"/>
        <v>0</v>
      </c>
      <c r="G27" s="755">
        <f t="shared" si="0"/>
        <v>0</v>
      </c>
      <c r="H27" s="755">
        <f t="shared" si="0"/>
        <v>0</v>
      </c>
      <c r="I27" s="755">
        <f t="shared" si="0"/>
        <v>0</v>
      </c>
      <c r="J27" s="755">
        <f t="shared" si="0"/>
        <v>0</v>
      </c>
      <c r="K27" s="755">
        <f t="shared" si="0"/>
        <v>0</v>
      </c>
      <c r="L27" s="797">
        <f t="shared" si="0"/>
        <v>0</v>
      </c>
    </row>
    <row r="28" spans="1:21" ht="13.5" customHeight="1" thickTop="1">
      <c r="B28" s="403"/>
      <c r="C28" s="309" t="s">
        <v>521</v>
      </c>
      <c r="D28" s="393"/>
      <c r="K28" s="347"/>
      <c r="L28" s="347"/>
    </row>
    <row r="42" spans="11:12">
      <c r="K42" s="267" t="s">
        <v>3211</v>
      </c>
      <c r="L42" s="301">
        <f>K27+L27</f>
        <v>0</v>
      </c>
    </row>
  </sheetData>
  <sheetProtection algorithmName="SHA-512" hashValue="4DIN9sm9fGFQHua3tVxvokP1OK4v1FIy4HxZO8wEQFNOEgFPSEzDiccVCQOGn1If28P8Zo6eJlaQ1jRz11Ykpw==" saltValue="JEi6Hy1cdIxbQsz1ymYlN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35D4F-46C8-42BE-9B7E-F0234175FCD0}">
  <sheetPr codeName="Sheet290">
    <tabColor theme="3" tint="0.79998168889431442"/>
  </sheetPr>
  <dimension ref="A1:U42"/>
  <sheetViews>
    <sheetView zoomScaleNormal="100" zoomScaleSheetLayoutView="80" workbookViewId="0">
      <selection activeCell="G7" sqref="G7"/>
    </sheetView>
  </sheetViews>
  <sheetFormatPr defaultColWidth="9.109375" defaultRowHeight="13.2"/>
  <cols>
    <col min="1" max="2" width="5.6640625" style="267" customWidth="1"/>
    <col min="3" max="3" width="4.88671875" style="267" customWidth="1"/>
    <col min="4" max="4" width="30.6640625" style="267" customWidth="1"/>
    <col min="5" max="12" width="15.6640625" style="267" customWidth="1"/>
    <col min="13" max="16384" width="9.109375" style="267"/>
  </cols>
  <sheetData>
    <row r="1" spans="2:21" ht="8.25" customHeight="1"/>
    <row r="2" spans="2:21" ht="20.399999999999999">
      <c r="B2" s="1363" t="str">
        <f>"SCHEDULE  OF  IMPROVEMENT  AUTHORIZATIONS  "&amp;UPPER('KEY INPUTS'!D59)&amp;"  (UTILITY  CAPITAL  FUND)"</f>
        <v>SCHEDULE  OF  IMPROVEMENT  AUTHORIZATIONS    (UTILITY  CAPITAL  FUND)</v>
      </c>
      <c r="C2" s="1363"/>
      <c r="D2" s="1363"/>
      <c r="E2" s="1363"/>
      <c r="F2" s="1363"/>
      <c r="G2" s="1363"/>
      <c r="H2" s="1363"/>
      <c r="I2" s="1363"/>
      <c r="J2" s="1363"/>
      <c r="K2" s="1363"/>
      <c r="L2" s="1363"/>
    </row>
    <row r="3" spans="2:21" ht="9.75" customHeight="1" thickBot="1">
      <c r="B3" s="1363"/>
      <c r="C3" s="1363"/>
      <c r="D3" s="1363"/>
      <c r="E3" s="1363"/>
      <c r="F3" s="1363"/>
      <c r="G3" s="1363"/>
      <c r="H3" s="1363"/>
      <c r="I3" s="1363"/>
      <c r="J3" s="1363"/>
      <c r="K3" s="1363"/>
      <c r="L3" s="1363"/>
    </row>
    <row r="4" spans="2:21" ht="13.5" customHeight="1" thickTop="1">
      <c r="B4" s="1433"/>
      <c r="C4" s="1433"/>
      <c r="D4" s="1434"/>
      <c r="E4" s="1450" t="str">
        <f>IF('KEY INPUTS'!C42 = "State Fiscal Year", 'KEY INPUTS'!F25,'KEY INPUTS'!D25)</f>
        <v>Balance - January 1, 2024</v>
      </c>
      <c r="F4" s="1451"/>
      <c r="G4" s="324"/>
      <c r="H4" s="324"/>
      <c r="I4" s="324"/>
      <c r="J4" s="324"/>
      <c r="K4" s="1442" t="str">
        <f>IF('KEY INPUTS'!C42 = "State Fiscal Year", 'KEY INPUTS'!F26,'KEY INPUTS'!D26)</f>
        <v>Balance - December 31, 2024</v>
      </c>
      <c r="L4" s="1447"/>
    </row>
    <row r="5" spans="2:21" ht="13.5" customHeight="1">
      <c r="B5" s="1352" t="s">
        <v>514</v>
      </c>
      <c r="C5" s="1352"/>
      <c r="D5" s="1427"/>
      <c r="E5" s="1452"/>
      <c r="F5" s="1453"/>
      <c r="G5" s="319"/>
      <c r="H5" s="319"/>
      <c r="I5" s="319"/>
      <c r="J5" s="319"/>
      <c r="K5" s="1443"/>
      <c r="L5" s="1448"/>
    </row>
    <row r="6" spans="2:21" ht="13.5" customHeight="1">
      <c r="B6" s="1352" t="s">
        <v>515</v>
      </c>
      <c r="C6" s="1352"/>
      <c r="D6" s="1427"/>
      <c r="E6" s="1454"/>
      <c r="F6" s="1455"/>
      <c r="G6" s="319" t="str">
        <f>IF('KEY INPUTS'!C42="State Fiscal Year","Fiscal Year "&amp;'KEY INPUTS'!D33&amp;"",'KEY INPUTS'!D34)&amp;""</f>
        <v>2024</v>
      </c>
      <c r="H6" s="319"/>
      <c r="I6" s="319" t="s">
        <v>235</v>
      </c>
      <c r="J6" s="319" t="s">
        <v>218</v>
      </c>
      <c r="K6" s="1445"/>
      <c r="L6" s="1449"/>
    </row>
    <row r="7" spans="2:21" ht="13.5" customHeight="1">
      <c r="B7" s="1352" t="s">
        <v>516</v>
      </c>
      <c r="C7" s="1352"/>
      <c r="D7" s="1427"/>
      <c r="E7" s="320" t="s">
        <v>517</v>
      </c>
      <c r="F7" s="320" t="s">
        <v>518</v>
      </c>
      <c r="G7" s="320" t="s">
        <v>519</v>
      </c>
      <c r="H7" s="320"/>
      <c r="I7" s="320"/>
      <c r="J7" s="320"/>
      <c r="K7" s="320" t="s">
        <v>517</v>
      </c>
      <c r="L7" s="321" t="s">
        <v>518</v>
      </c>
    </row>
    <row r="8" spans="2:21" ht="13.5" customHeight="1" thickBot="1">
      <c r="B8" s="318"/>
      <c r="C8" s="318"/>
      <c r="D8" s="318"/>
      <c r="E8" s="316"/>
      <c r="F8" s="316"/>
      <c r="G8" s="317"/>
      <c r="H8" s="317"/>
      <c r="I8" s="316"/>
      <c r="J8" s="316"/>
      <c r="K8" s="317"/>
      <c r="L8" s="863"/>
      <c r="O8"/>
      <c r="P8"/>
      <c r="Q8"/>
      <c r="R8"/>
      <c r="S8"/>
      <c r="T8"/>
      <c r="U8"/>
    </row>
    <row r="9" spans="2:21" ht="21" customHeight="1" thickTop="1">
      <c r="B9" s="831" t="s">
        <v>3263</v>
      </c>
      <c r="C9" s="313"/>
      <c r="D9" s="795"/>
      <c r="E9" s="887">
        <f>+'52.3-Utility6'!E27</f>
        <v>0</v>
      </c>
      <c r="F9" s="887">
        <f>+'52.3-Utility6'!F27</f>
        <v>0</v>
      </c>
      <c r="G9" s="887">
        <f>+'52.3-Utility6'!G27</f>
        <v>0</v>
      </c>
      <c r="H9" s="887">
        <f>+'52.3-Utility6'!H27</f>
        <v>0</v>
      </c>
      <c r="I9" s="887">
        <f>+'52.3-Utility6'!I27</f>
        <v>0</v>
      </c>
      <c r="J9" s="887">
        <f>+'52.3-Utility6'!J27</f>
        <v>0</v>
      </c>
      <c r="K9" s="887">
        <f>+'52.3-Utility6'!K27</f>
        <v>0</v>
      </c>
      <c r="L9" s="929">
        <f>+'52.3-Utility6'!L27</f>
        <v>0</v>
      </c>
      <c r="O9"/>
      <c r="P9"/>
      <c r="Q9"/>
      <c r="R9"/>
      <c r="S9"/>
      <c r="T9"/>
      <c r="U9"/>
    </row>
    <row r="10" spans="2:21" ht="21" customHeight="1">
      <c r="B10" s="930"/>
      <c r="C10" s="494"/>
      <c r="D10" s="931"/>
      <c r="E10" s="932"/>
      <c r="F10" s="932"/>
      <c r="G10" s="932"/>
      <c r="H10" s="932"/>
      <c r="I10" s="932"/>
      <c r="J10" s="932"/>
      <c r="K10" s="933"/>
      <c r="L10" s="933"/>
      <c r="O10" s="294"/>
      <c r="P10"/>
      <c r="Q10"/>
      <c r="R10"/>
      <c r="S10"/>
      <c r="T10"/>
      <c r="U10"/>
    </row>
    <row r="11" spans="2:21" ht="21" customHeight="1">
      <c r="B11" s="934"/>
      <c r="C11" s="494"/>
      <c r="D11" s="931"/>
      <c r="E11" s="932"/>
      <c r="F11" s="932"/>
      <c r="G11" s="932"/>
      <c r="H11" s="932"/>
      <c r="I11" s="932"/>
      <c r="J11" s="932"/>
      <c r="K11" s="933"/>
      <c r="L11" s="933"/>
      <c r="O11"/>
      <c r="P11"/>
      <c r="Q11"/>
      <c r="R11"/>
      <c r="S11"/>
      <c r="T11"/>
      <c r="U11"/>
    </row>
    <row r="12" spans="2:21" ht="21" customHeight="1">
      <c r="B12" s="934"/>
      <c r="C12" s="494"/>
      <c r="D12" s="931"/>
      <c r="E12" s="932"/>
      <c r="F12" s="932"/>
      <c r="G12" s="932"/>
      <c r="H12" s="932"/>
      <c r="I12" s="935"/>
      <c r="J12" s="932"/>
      <c r="K12" s="933"/>
      <c r="L12" s="933"/>
      <c r="O12"/>
      <c r="P12"/>
      <c r="Q12"/>
      <c r="R12"/>
      <c r="S12"/>
      <c r="T12"/>
      <c r="U12"/>
    </row>
    <row r="13" spans="2:21" ht="21" customHeight="1">
      <c r="B13" s="934"/>
      <c r="C13" s="494"/>
      <c r="D13" s="931"/>
      <c r="E13" s="932"/>
      <c r="F13" s="932"/>
      <c r="G13" s="932"/>
      <c r="H13" s="932"/>
      <c r="I13" s="932"/>
      <c r="J13" s="932"/>
      <c r="K13" s="933"/>
      <c r="L13" s="933"/>
      <c r="O13"/>
      <c r="P13"/>
      <c r="Q13"/>
      <c r="R13"/>
      <c r="S13"/>
      <c r="T13"/>
      <c r="U13"/>
    </row>
    <row r="14" spans="2:21" ht="21" customHeight="1">
      <c r="B14" s="930"/>
      <c r="C14" s="494"/>
      <c r="D14" s="931"/>
      <c r="E14" s="932"/>
      <c r="F14" s="932"/>
      <c r="G14" s="932"/>
      <c r="H14" s="932"/>
      <c r="I14" s="932"/>
      <c r="J14" s="932"/>
      <c r="K14" s="933"/>
      <c r="L14" s="933"/>
      <c r="O14"/>
      <c r="P14"/>
      <c r="Q14"/>
      <c r="R14"/>
      <c r="S14"/>
      <c r="T14"/>
      <c r="U14"/>
    </row>
    <row r="15" spans="2:21" ht="21" customHeight="1">
      <c r="B15" s="930"/>
      <c r="C15" s="494"/>
      <c r="D15" s="931"/>
      <c r="E15" s="932"/>
      <c r="F15" s="932"/>
      <c r="G15" s="932"/>
      <c r="H15" s="932"/>
      <c r="I15" s="932"/>
      <c r="J15" s="932"/>
      <c r="K15" s="933"/>
      <c r="L15" s="933"/>
      <c r="O15"/>
      <c r="P15"/>
      <c r="Q15"/>
      <c r="R15"/>
      <c r="S15"/>
      <c r="T15"/>
      <c r="U15"/>
    </row>
    <row r="16" spans="2:21" ht="21" customHeight="1">
      <c r="B16" s="930"/>
      <c r="C16" s="494"/>
      <c r="D16" s="931"/>
      <c r="E16" s="936"/>
      <c r="F16" s="936"/>
      <c r="G16" s="936"/>
      <c r="H16" s="936"/>
      <c r="I16" s="936"/>
      <c r="J16" s="936"/>
      <c r="K16" s="933"/>
      <c r="L16" s="933"/>
      <c r="O16"/>
      <c r="P16"/>
      <c r="Q16"/>
      <c r="R16"/>
      <c r="S16"/>
      <c r="T16"/>
      <c r="U16"/>
    </row>
    <row r="17" spans="1:21" ht="21" customHeight="1">
      <c r="A17" s="1367" t="s">
        <v>3361</v>
      </c>
      <c r="B17" s="930"/>
      <c r="C17" s="494"/>
      <c r="D17" s="931"/>
      <c r="E17" s="932"/>
      <c r="F17" s="932"/>
      <c r="G17" s="932"/>
      <c r="H17" s="932"/>
      <c r="I17" s="932"/>
      <c r="J17" s="932"/>
      <c r="K17" s="933"/>
      <c r="L17" s="933"/>
      <c r="O17"/>
      <c r="P17"/>
      <c r="Q17"/>
      <c r="R17"/>
      <c r="S17"/>
      <c r="T17"/>
      <c r="U17"/>
    </row>
    <row r="18" spans="1:21" ht="21" customHeight="1">
      <c r="A18" s="1367"/>
      <c r="B18" s="930"/>
      <c r="C18" s="494"/>
      <c r="D18" s="931"/>
      <c r="E18" s="932"/>
      <c r="F18" s="932"/>
      <c r="G18" s="932"/>
      <c r="H18" s="932"/>
      <c r="I18" s="932"/>
      <c r="J18" s="932"/>
      <c r="K18" s="933"/>
      <c r="L18" s="933"/>
      <c r="O18"/>
      <c r="P18"/>
      <c r="Q18"/>
      <c r="R18"/>
      <c r="S18"/>
      <c r="T18"/>
      <c r="U18"/>
    </row>
    <row r="19" spans="1:21" ht="21" customHeight="1">
      <c r="A19" s="1367"/>
      <c r="B19" s="930"/>
      <c r="C19" s="494"/>
      <c r="D19" s="931"/>
      <c r="E19" s="932"/>
      <c r="F19" s="932"/>
      <c r="G19" s="932"/>
      <c r="H19" s="932"/>
      <c r="I19" s="932"/>
      <c r="J19" s="932"/>
      <c r="K19" s="933"/>
      <c r="L19" s="933"/>
      <c r="O19"/>
      <c r="P19"/>
      <c r="Q19"/>
      <c r="R19"/>
      <c r="S19"/>
      <c r="T19"/>
      <c r="U19"/>
    </row>
    <row r="20" spans="1:21" ht="21" customHeight="1">
      <c r="A20" s="397"/>
      <c r="B20" s="930"/>
      <c r="C20" s="494"/>
      <c r="D20" s="931"/>
      <c r="E20" s="932"/>
      <c r="F20" s="932"/>
      <c r="G20" s="932"/>
      <c r="H20" s="932"/>
      <c r="I20" s="932"/>
      <c r="J20" s="932"/>
      <c r="K20" s="933"/>
      <c r="L20" s="933"/>
      <c r="O20"/>
      <c r="P20"/>
      <c r="Q20"/>
      <c r="R20"/>
      <c r="S20"/>
      <c r="T20"/>
      <c r="U20"/>
    </row>
    <row r="21" spans="1:21" ht="21" customHeight="1">
      <c r="A21" s="397"/>
      <c r="B21" s="930"/>
      <c r="C21" s="494"/>
      <c r="D21" s="931"/>
      <c r="E21" s="932"/>
      <c r="F21" s="932"/>
      <c r="G21" s="932"/>
      <c r="H21" s="932"/>
      <c r="I21" s="932"/>
      <c r="J21" s="932"/>
      <c r="K21" s="933"/>
      <c r="L21" s="933"/>
      <c r="O21"/>
      <c r="P21"/>
      <c r="Q21"/>
      <c r="R21"/>
      <c r="S21"/>
      <c r="T21"/>
      <c r="U21"/>
    </row>
    <row r="22" spans="1:21" ht="21" customHeight="1">
      <c r="A22" s="397"/>
      <c r="B22" s="930"/>
      <c r="C22" s="494"/>
      <c r="D22" s="931"/>
      <c r="E22" s="932"/>
      <c r="F22" s="932"/>
      <c r="G22" s="932"/>
      <c r="H22" s="932"/>
      <c r="I22" s="932"/>
      <c r="J22" s="932"/>
      <c r="K22" s="933"/>
      <c r="L22" s="933"/>
      <c r="O22"/>
      <c r="P22"/>
      <c r="Q22"/>
      <c r="R22"/>
      <c r="S22"/>
      <c r="T22"/>
      <c r="U22"/>
    </row>
    <row r="23" spans="1:21" ht="21" customHeight="1">
      <c r="B23" s="930"/>
      <c r="C23" s="494"/>
      <c r="D23" s="931"/>
      <c r="E23" s="932"/>
      <c r="F23" s="932"/>
      <c r="G23" s="932"/>
      <c r="H23" s="932"/>
      <c r="I23" s="932"/>
      <c r="J23" s="932"/>
      <c r="K23" s="933"/>
      <c r="L23" s="933"/>
      <c r="O23"/>
      <c r="P23"/>
      <c r="Q23"/>
      <c r="R23"/>
      <c r="S23"/>
      <c r="T23"/>
      <c r="U23"/>
    </row>
    <row r="24" spans="1:21" ht="21" customHeight="1">
      <c r="B24" s="930"/>
      <c r="C24" s="494"/>
      <c r="D24" s="931"/>
      <c r="E24" s="932"/>
      <c r="F24" s="932"/>
      <c r="G24" s="932"/>
      <c r="H24" s="932"/>
      <c r="I24" s="932"/>
      <c r="J24" s="932"/>
      <c r="K24" s="933"/>
      <c r="L24" s="933"/>
      <c r="O24"/>
      <c r="P24"/>
      <c r="Q24"/>
      <c r="R24"/>
      <c r="S24"/>
      <c r="T24"/>
      <c r="U24"/>
    </row>
    <row r="25" spans="1:21" ht="21" customHeight="1">
      <c r="B25" s="930"/>
      <c r="C25" s="494"/>
      <c r="D25" s="931"/>
      <c r="E25" s="932"/>
      <c r="F25" s="932"/>
      <c r="G25" s="932"/>
      <c r="H25" s="932"/>
      <c r="I25" s="932"/>
      <c r="J25" s="932"/>
      <c r="K25" s="933"/>
      <c r="L25" s="933"/>
    </row>
    <row r="26" spans="1:21" ht="21" customHeight="1" thickBot="1">
      <c r="B26" s="930"/>
      <c r="C26" s="494"/>
      <c r="D26" s="937"/>
      <c r="E26" s="938"/>
      <c r="F26" s="938"/>
      <c r="G26" s="938"/>
      <c r="H26" s="938"/>
      <c r="I26" s="938"/>
      <c r="J26" s="938"/>
      <c r="K26" s="938"/>
      <c r="L26" s="939"/>
    </row>
    <row r="27" spans="1:21" ht="21" customHeight="1" thickTop="1" thickBot="1">
      <c r="B27" s="401"/>
      <c r="C27" s="311"/>
      <c r="D27" s="380" t="s">
        <v>3364</v>
      </c>
      <c r="E27" s="755">
        <f t="shared" ref="E27:L27" si="0">SUM(E9:E26)</f>
        <v>0</v>
      </c>
      <c r="F27" s="755">
        <f t="shared" si="0"/>
        <v>0</v>
      </c>
      <c r="G27" s="755">
        <f t="shared" si="0"/>
        <v>0</v>
      </c>
      <c r="H27" s="755">
        <f t="shared" si="0"/>
        <v>0</v>
      </c>
      <c r="I27" s="755">
        <f t="shared" si="0"/>
        <v>0</v>
      </c>
      <c r="J27" s="755">
        <f t="shared" si="0"/>
        <v>0</v>
      </c>
      <c r="K27" s="755">
        <f t="shared" si="0"/>
        <v>0</v>
      </c>
      <c r="L27" s="797">
        <f t="shared" si="0"/>
        <v>0</v>
      </c>
    </row>
    <row r="28" spans="1:21" ht="13.5" customHeight="1" thickTop="1">
      <c r="B28" s="403"/>
      <c r="C28" s="309" t="s">
        <v>521</v>
      </c>
      <c r="D28" s="393"/>
      <c r="K28" s="347"/>
      <c r="L28" s="347"/>
    </row>
    <row r="42" spans="11:12">
      <c r="K42" s="267" t="s">
        <v>3211</v>
      </c>
      <c r="L42" s="301">
        <f>K27+L27</f>
        <v>0</v>
      </c>
    </row>
  </sheetData>
  <sheetProtection algorithmName="SHA-512" hashValue="JFRMApz5YxSRvM/pO8muy4d+WpXxP3I8QHQe73AzoRnfQAIyQ6bk/XCaB4enYm+eOwbeTeFYUbfWK72GGUDRLg==" saltValue="b/TBU1hbYgL4hnkLqSyj2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7835F-A10B-432E-A4CE-46569530B320}">
  <sheetPr codeName="Sheet291">
    <tabColor theme="3" tint="0.79998168889431442"/>
  </sheetPr>
  <dimension ref="B3:S54"/>
  <sheetViews>
    <sheetView zoomScaleNormal="100" zoomScaleSheetLayoutView="80" workbookViewId="0">
      <selection activeCell="B10" sqref="B10"/>
    </sheetView>
  </sheetViews>
  <sheetFormatPr defaultColWidth="9.109375" defaultRowHeight="13.2"/>
  <cols>
    <col min="1" max="3" width="4.6640625" style="267" customWidth="1"/>
    <col min="4" max="4" width="4.5546875" style="267" customWidth="1"/>
    <col min="5" max="6" width="9.109375" style="267"/>
    <col min="7" max="7" width="14.44140625" style="267" customWidth="1"/>
    <col min="8" max="8" width="15" style="267" customWidth="1"/>
    <col min="9" max="10" width="16.6640625" style="267" customWidth="1"/>
    <col min="11" max="16384" width="9.109375" style="267"/>
  </cols>
  <sheetData>
    <row r="3" spans="2:19" ht="22.8">
      <c r="B3" s="1358" t="str">
        <f>UPPER('KEY INPUTS'!D$59)&amp;" UTILITY  CAPITAL  FUND"</f>
        <v xml:space="preserve"> UTILITY  CAPITAL  FUND</v>
      </c>
      <c r="C3" s="1358"/>
      <c r="D3" s="1358"/>
      <c r="E3" s="1358"/>
      <c r="F3" s="1358"/>
      <c r="G3" s="1358"/>
      <c r="H3" s="1358"/>
      <c r="I3" s="1358"/>
      <c r="J3" s="1358"/>
    </row>
    <row r="5" spans="2:19" ht="15.6">
      <c r="B5" s="1360" t="s">
        <v>525</v>
      </c>
      <c r="C5" s="1360"/>
      <c r="D5" s="1360"/>
      <c r="E5" s="1360"/>
      <c r="F5" s="1360"/>
      <c r="G5" s="1360"/>
      <c r="H5" s="1360"/>
      <c r="I5" s="1360"/>
      <c r="J5" s="1360"/>
    </row>
    <row r="6" spans="2:19" ht="13.8" thickBot="1"/>
    <row r="7" spans="2:19" ht="28.5" customHeight="1" thickTop="1" thickBot="1">
      <c r="B7" s="364"/>
      <c r="C7" s="364"/>
      <c r="D7" s="364"/>
      <c r="E7" s="364"/>
      <c r="F7" s="364"/>
      <c r="G7" s="364"/>
      <c r="H7" s="364"/>
      <c r="I7" s="304" t="s">
        <v>96</v>
      </c>
      <c r="J7" s="308" t="s">
        <v>97</v>
      </c>
    </row>
    <row r="8" spans="2:19" ht="21" customHeight="1" thickTop="1">
      <c r="B8" s="313" t="str">
        <f>IF('KEY INPUTS'!C42 = "State Fiscal Year", 'KEY INPUTS'!F25,'KEY INPUTS'!D25)</f>
        <v>Balance - January 1, 2024</v>
      </c>
      <c r="C8" s="313"/>
      <c r="D8" s="313"/>
      <c r="E8" s="313"/>
      <c r="F8" s="313"/>
      <c r="G8" s="313"/>
      <c r="H8" s="409"/>
      <c r="I8" s="757" t="s">
        <v>627</v>
      </c>
      <c r="J8" s="486"/>
    </row>
    <row r="9" spans="2:19" ht="21" customHeight="1">
      <c r="B9" s="248" t="str">
        <f>"Received from "&amp;IF('KEY INPUTS'!C42="State Fiscal Year","Fiscal Year "&amp;'KEY INPUTS'!D33&amp;"",'KEY INPUTS'!D34)&amp;" Budget Appropriation"</f>
        <v>Received from 2024 Budget Appropriation</v>
      </c>
      <c r="C9" s="248"/>
      <c r="D9" s="248"/>
      <c r="E9" s="248"/>
      <c r="F9" s="248"/>
      <c r="G9" s="248"/>
      <c r="H9" s="407"/>
      <c r="I9" s="702" t="s">
        <v>627</v>
      </c>
      <c r="J9" s="457"/>
      <c r="M9"/>
      <c r="N9"/>
      <c r="O9"/>
      <c r="P9"/>
      <c r="Q9"/>
      <c r="R9"/>
      <c r="S9"/>
    </row>
    <row r="10" spans="2:19" ht="21" customHeight="1">
      <c r="B10" s="495"/>
      <c r="C10" s="495"/>
      <c r="D10" s="495"/>
      <c r="E10" s="495"/>
      <c r="F10" s="495"/>
      <c r="G10" s="495"/>
      <c r="H10" s="495"/>
      <c r="I10" s="702" t="s">
        <v>627</v>
      </c>
      <c r="J10" s="457"/>
      <c r="M10"/>
      <c r="N10"/>
      <c r="O10"/>
      <c r="P10"/>
      <c r="Q10"/>
      <c r="R10"/>
      <c r="S10"/>
    </row>
    <row r="11" spans="2:19" ht="11.25" customHeight="1">
      <c r="B11" s="412" t="s">
        <v>176</v>
      </c>
      <c r="C11" s="411"/>
      <c r="D11" s="411"/>
      <c r="E11" s="411"/>
      <c r="F11" s="411"/>
      <c r="G11" s="411"/>
      <c r="H11" s="406"/>
      <c r="I11" s="1458" t="s">
        <v>627</v>
      </c>
      <c r="J11" s="1456"/>
      <c r="M11" s="294"/>
      <c r="N11"/>
      <c r="O11"/>
      <c r="P11"/>
      <c r="Q11"/>
      <c r="R11"/>
      <c r="S11"/>
    </row>
    <row r="12" spans="2:19" ht="12.75" customHeight="1">
      <c r="B12" s="333"/>
      <c r="C12" s="408" t="s">
        <v>177</v>
      </c>
      <c r="D12" s="333"/>
      <c r="E12" s="333"/>
      <c r="F12" s="333"/>
      <c r="G12" s="333"/>
      <c r="H12" s="410"/>
      <c r="I12" s="1459"/>
      <c r="J12" s="1457"/>
      <c r="M12"/>
      <c r="N12"/>
      <c r="O12"/>
      <c r="P12"/>
      <c r="Q12"/>
      <c r="R12"/>
      <c r="S12"/>
    </row>
    <row r="13" spans="2:19" ht="21" customHeight="1">
      <c r="B13" s="514"/>
      <c r="C13" s="869"/>
      <c r="D13" s="514"/>
      <c r="E13" s="514"/>
      <c r="F13" s="514"/>
      <c r="G13" s="514"/>
      <c r="H13" s="514"/>
      <c r="I13" s="527"/>
      <c r="J13" s="293"/>
      <c r="M13"/>
      <c r="N13"/>
      <c r="O13"/>
      <c r="P13"/>
      <c r="Q13"/>
      <c r="R13"/>
      <c r="S13"/>
    </row>
    <row r="14" spans="2:19" ht="21" customHeight="1">
      <c r="B14" s="248" t="s">
        <v>178</v>
      </c>
      <c r="C14" s="248"/>
      <c r="D14" s="248"/>
      <c r="E14" s="248"/>
      <c r="F14" s="248"/>
      <c r="G14" s="248"/>
      <c r="H14" s="248"/>
      <c r="I14" s="702" t="s">
        <v>627</v>
      </c>
      <c r="J14" s="706" t="s">
        <v>627</v>
      </c>
      <c r="M14"/>
      <c r="N14"/>
      <c r="O14"/>
      <c r="P14"/>
      <c r="Q14"/>
      <c r="R14"/>
      <c r="S14"/>
    </row>
    <row r="15" spans="2:19" ht="21" customHeight="1">
      <c r="B15" s="495"/>
      <c r="C15" s="495"/>
      <c r="D15" s="495"/>
      <c r="E15" s="495"/>
      <c r="F15" s="495"/>
      <c r="G15" s="495"/>
      <c r="H15" s="495"/>
      <c r="I15" s="450"/>
      <c r="J15" s="706" t="s">
        <v>627</v>
      </c>
      <c r="M15"/>
      <c r="N15"/>
      <c r="O15"/>
      <c r="P15"/>
      <c r="Q15"/>
      <c r="R15"/>
      <c r="S15"/>
    </row>
    <row r="16" spans="2:19" ht="21" customHeight="1">
      <c r="B16" s="495"/>
      <c r="C16" s="495"/>
      <c r="D16" s="495"/>
      <c r="E16" s="495"/>
      <c r="F16" s="495"/>
      <c r="G16" s="495"/>
      <c r="H16" s="495"/>
      <c r="I16" s="450"/>
      <c r="J16" s="706" t="s">
        <v>627</v>
      </c>
      <c r="M16"/>
      <c r="N16"/>
      <c r="O16"/>
      <c r="P16"/>
      <c r="Q16"/>
      <c r="R16"/>
      <c r="S16"/>
    </row>
    <row r="17" spans="2:19" ht="21" customHeight="1">
      <c r="B17" s="495"/>
      <c r="C17" s="495"/>
      <c r="D17" s="495"/>
      <c r="E17" s="495"/>
      <c r="F17" s="495"/>
      <c r="G17" s="495"/>
      <c r="H17" s="495"/>
      <c r="I17" s="450"/>
      <c r="J17" s="706" t="s">
        <v>627</v>
      </c>
      <c r="M17"/>
      <c r="N17"/>
      <c r="O17"/>
      <c r="P17"/>
      <c r="Q17"/>
      <c r="R17"/>
      <c r="S17"/>
    </row>
    <row r="18" spans="2:19" ht="21" customHeight="1">
      <c r="B18" s="495"/>
      <c r="C18" s="495"/>
      <c r="D18" s="495"/>
      <c r="E18" s="495"/>
      <c r="F18" s="495"/>
      <c r="G18" s="495"/>
      <c r="H18" s="495"/>
      <c r="I18" s="450"/>
      <c r="J18" s="706" t="s">
        <v>627</v>
      </c>
      <c r="M18"/>
      <c r="N18"/>
      <c r="O18"/>
      <c r="P18"/>
      <c r="Q18"/>
      <c r="R18"/>
      <c r="S18"/>
    </row>
    <row r="19" spans="2:19" ht="21" customHeight="1">
      <c r="B19" s="495"/>
      <c r="C19" s="495"/>
      <c r="D19" s="495"/>
      <c r="E19" s="495"/>
      <c r="F19" s="495"/>
      <c r="G19" s="495"/>
      <c r="H19" s="495"/>
      <c r="I19" s="450"/>
      <c r="J19" s="706" t="s">
        <v>627</v>
      </c>
      <c r="M19"/>
      <c r="N19"/>
      <c r="O19"/>
      <c r="P19"/>
      <c r="Q19"/>
      <c r="R19"/>
      <c r="S19"/>
    </row>
    <row r="20" spans="2:19" ht="21" customHeight="1">
      <c r="B20" s="495"/>
      <c r="C20" s="495"/>
      <c r="D20" s="495"/>
      <c r="E20" s="495"/>
      <c r="F20" s="495"/>
      <c r="G20" s="495"/>
      <c r="H20" s="495"/>
      <c r="I20" s="450"/>
      <c r="J20" s="706" t="s">
        <v>627</v>
      </c>
      <c r="M20"/>
      <c r="N20"/>
      <c r="O20"/>
      <c r="P20"/>
      <c r="Q20"/>
      <c r="R20"/>
      <c r="S20"/>
    </row>
    <row r="21" spans="2:19" ht="21" customHeight="1">
      <c r="B21" s="495"/>
      <c r="C21" s="495"/>
      <c r="D21" s="495"/>
      <c r="E21" s="495"/>
      <c r="F21" s="495"/>
      <c r="G21" s="495"/>
      <c r="H21" s="495"/>
      <c r="I21" s="450"/>
      <c r="J21" s="706" t="s">
        <v>627</v>
      </c>
      <c r="M21"/>
      <c r="N21"/>
      <c r="O21"/>
      <c r="P21"/>
      <c r="Q21"/>
      <c r="R21"/>
      <c r="S21"/>
    </row>
    <row r="22" spans="2:19" ht="21" customHeight="1">
      <c r="B22" s="248" t="s">
        <v>179</v>
      </c>
      <c r="C22" s="248"/>
      <c r="D22" s="248"/>
      <c r="E22" s="248"/>
      <c r="F22" s="248"/>
      <c r="G22" s="248"/>
      <c r="H22" s="407"/>
      <c r="I22" s="450"/>
      <c r="J22" s="706" t="s">
        <v>627</v>
      </c>
      <c r="M22"/>
      <c r="N22"/>
      <c r="O22"/>
      <c r="P22"/>
      <c r="Q22"/>
      <c r="R22"/>
      <c r="S22"/>
    </row>
    <row r="23" spans="2:19" ht="21" customHeight="1">
      <c r="B23" s="495"/>
      <c r="C23" s="495"/>
      <c r="D23" s="495"/>
      <c r="E23" s="495"/>
      <c r="F23" s="495"/>
      <c r="G23" s="495"/>
      <c r="H23" s="495"/>
      <c r="I23" s="450"/>
      <c r="J23" s="706" t="s">
        <v>627</v>
      </c>
      <c r="M23"/>
      <c r="N23"/>
      <c r="O23"/>
      <c r="P23"/>
      <c r="Q23"/>
      <c r="R23"/>
      <c r="S23"/>
    </row>
    <row r="24" spans="2:19" ht="21" customHeight="1" thickBot="1">
      <c r="B24" s="248" t="str">
        <f>IF('KEY INPUTS'!C42 = "State Fiscal Year", 'KEY INPUTS'!F26,'KEY INPUTS'!D26)</f>
        <v>Balance - December 31, 2024</v>
      </c>
      <c r="C24" s="248"/>
      <c r="D24" s="248"/>
      <c r="E24" s="248"/>
      <c r="F24" s="248"/>
      <c r="G24" s="248"/>
      <c r="H24" s="407"/>
      <c r="I24" s="768">
        <f>+SUM(J8:J13)-SUM(I13:I23)</f>
        <v>0</v>
      </c>
      <c r="J24" s="766" t="s">
        <v>627</v>
      </c>
      <c r="M24"/>
      <c r="N24"/>
      <c r="O24"/>
      <c r="P24"/>
      <c r="Q24"/>
      <c r="R24"/>
      <c r="S24"/>
    </row>
    <row r="25" spans="2:19" ht="21" customHeight="1" thickTop="1" thickBot="1">
      <c r="I25" s="748">
        <f>SUM(I8:I24)</f>
        <v>0</v>
      </c>
      <c r="J25" s="769">
        <f>SUM(J8:J24)</f>
        <v>0</v>
      </c>
      <c r="M25"/>
      <c r="N25"/>
      <c r="O25"/>
      <c r="P25"/>
      <c r="Q25"/>
      <c r="R25"/>
      <c r="S25"/>
    </row>
    <row r="26" spans="2:19" ht="13.8" thickTop="1"/>
    <row r="30" spans="2:19" ht="22.8">
      <c r="B30" s="1358" t="str">
        <f>UPPER('KEY INPUTS'!D$59)&amp;" UTILITY  CAPITAL  FUND"</f>
        <v xml:space="preserve"> UTILITY  CAPITAL  FUND</v>
      </c>
      <c r="C30" s="1358"/>
      <c r="D30" s="1358"/>
      <c r="E30" s="1358"/>
      <c r="F30" s="1358"/>
      <c r="G30" s="1358"/>
      <c r="H30" s="1358"/>
      <c r="I30" s="1358"/>
      <c r="J30" s="1358"/>
    </row>
    <row r="31" spans="2:19" ht="7.5" customHeight="1"/>
    <row r="32" spans="2:19" ht="15.6">
      <c r="B32" s="1360" t="s">
        <v>180</v>
      </c>
      <c r="C32" s="1360"/>
      <c r="D32" s="1360"/>
      <c r="E32" s="1360"/>
      <c r="F32" s="1360"/>
      <c r="G32" s="1360"/>
      <c r="H32" s="1360"/>
      <c r="I32" s="1360"/>
      <c r="J32" s="1360"/>
    </row>
    <row r="33" spans="2:10" ht="13.8" thickBot="1"/>
    <row r="34" spans="2:10" ht="26.25" customHeight="1" thickTop="1" thickBot="1">
      <c r="B34" s="364"/>
      <c r="C34" s="364"/>
      <c r="D34" s="364"/>
      <c r="E34" s="364"/>
      <c r="F34" s="364"/>
      <c r="G34" s="364"/>
      <c r="H34" s="364"/>
      <c r="I34" s="304" t="s">
        <v>96</v>
      </c>
      <c r="J34" s="308" t="s">
        <v>97</v>
      </c>
    </row>
    <row r="35" spans="2:10" ht="21" customHeight="1" thickTop="1">
      <c r="B35" s="313" t="str">
        <f>IF('KEY INPUTS'!C42 = "State Fiscal Year", 'KEY INPUTS'!F25,'KEY INPUTS'!D25)</f>
        <v>Balance - January 1, 2024</v>
      </c>
      <c r="C35" s="313"/>
      <c r="D35" s="313"/>
      <c r="E35" s="313"/>
      <c r="F35" s="313"/>
      <c r="G35" s="313"/>
      <c r="H35" s="409"/>
      <c r="I35" s="757" t="s">
        <v>627</v>
      </c>
      <c r="J35" s="486"/>
    </row>
    <row r="36" spans="2:10" ht="21" customHeight="1">
      <c r="B36" s="248" t="str">
        <f>"Received from "&amp;IF('KEY INPUTS'!C42="State Fiscal Year","Fiscal Year "&amp;'KEY INPUTS'!D33)&amp;" Budget Appropriation *"</f>
        <v>Received from FALSE Budget Appropriation *</v>
      </c>
      <c r="C36" s="248"/>
      <c r="D36" s="248"/>
      <c r="E36" s="248"/>
      <c r="F36" s="248"/>
      <c r="G36" s="248"/>
      <c r="H36" s="407"/>
      <c r="I36" s="702" t="s">
        <v>627</v>
      </c>
      <c r="J36" s="457"/>
    </row>
    <row r="37" spans="2:10" ht="21" customHeight="1">
      <c r="B37" s="248" t="str">
        <f>"Received from "&amp;IF('KEY INPUTS'!C42="State Fiscal Year","Fiscal Year "&amp;'KEY INPUTS'!D33)&amp;" Emergency Appropriation *"</f>
        <v>Received from FALSE Emergency Appropriation *</v>
      </c>
      <c r="C37" s="248"/>
      <c r="D37" s="248"/>
      <c r="E37" s="248"/>
      <c r="F37" s="248"/>
      <c r="G37" s="248"/>
      <c r="H37" s="407"/>
      <c r="I37" s="702" t="s">
        <v>627</v>
      </c>
      <c r="J37" s="457"/>
    </row>
    <row r="38" spans="2:10" ht="21" customHeight="1">
      <c r="B38" s="514"/>
      <c r="C38" s="869"/>
      <c r="D38" s="514"/>
      <c r="E38" s="514"/>
      <c r="F38" s="514"/>
      <c r="G38" s="514"/>
      <c r="H38" s="514"/>
      <c r="I38" s="527"/>
      <c r="J38" s="293"/>
    </row>
    <row r="39" spans="2:10" ht="21" customHeight="1">
      <c r="B39" s="248" t="s">
        <v>179</v>
      </c>
      <c r="C39" s="248"/>
      <c r="D39" s="248"/>
      <c r="E39" s="248"/>
      <c r="F39" s="248"/>
      <c r="G39" s="248"/>
      <c r="H39" s="407"/>
      <c r="I39" s="450"/>
      <c r="J39" s="706" t="s">
        <v>627</v>
      </c>
    </row>
    <row r="40" spans="2:10" ht="21" customHeight="1">
      <c r="B40" s="495"/>
      <c r="C40" s="495"/>
      <c r="D40" s="495"/>
      <c r="E40" s="495"/>
      <c r="F40" s="495"/>
      <c r="G40" s="495"/>
      <c r="H40" s="495"/>
      <c r="I40" s="450"/>
      <c r="J40" s="706" t="s">
        <v>627</v>
      </c>
    </row>
    <row r="41" spans="2:10" ht="21" customHeight="1" thickBot="1">
      <c r="B41" s="248" t="str">
        <f>IF('KEY INPUTS'!C42 = "State Fiscal Year", 'KEY INPUTS'!F26,'KEY INPUTS'!D26)</f>
        <v>Balance - December 31, 2024</v>
      </c>
      <c r="C41" s="248"/>
      <c r="D41" s="248"/>
      <c r="E41" s="248"/>
      <c r="F41" s="248"/>
      <c r="G41" s="248"/>
      <c r="H41" s="407"/>
      <c r="I41" s="870">
        <f>SUM(J35:J38)-SUM(I38:I40)</f>
        <v>0</v>
      </c>
      <c r="J41" s="766" t="s">
        <v>627</v>
      </c>
    </row>
    <row r="42" spans="2:10" ht="21" customHeight="1" thickTop="1" thickBot="1">
      <c r="I42" s="748">
        <f>SUM(I35:I41)</f>
        <v>0</v>
      </c>
      <c r="J42" s="769">
        <f>SUM(J35:J41)</f>
        <v>0</v>
      </c>
    </row>
    <row r="43" spans="2:10" ht="21" customHeight="1" thickTop="1">
      <c r="I43" s="940"/>
      <c r="J43" s="940"/>
    </row>
    <row r="44" spans="2:10" ht="21" customHeight="1"/>
    <row r="45" spans="2:10" ht="13.5" customHeight="1">
      <c r="B45" s="359" t="str">
        <f>"*The full amount of the "&amp;IF('KEY INPUTS'!C42="State Fiscal Year","Fiscal Year "&amp;'KEY INPUTS'!D33)&amp;" budget appropriation should be transferred to this account unless the balance of"</f>
        <v>*The full amount of the FALSE budget appropriation should be transferred to this account unless the balance of</v>
      </c>
      <c r="C45" s="359"/>
    </row>
    <row r="46" spans="2:10" ht="13.5" customHeight="1">
      <c r="B46" s="359"/>
      <c r="C46" s="359" t="s">
        <v>3581</v>
      </c>
    </row>
    <row r="47" spans="2:10" ht="13.5" customHeight="1">
      <c r="B47" s="359"/>
      <c r="C47" s="359"/>
    </row>
    <row r="48" spans="2:10" ht="13.5" customHeight="1">
      <c r="B48" s="359"/>
      <c r="C48" s="359"/>
    </row>
    <row r="49" spans="2:10" ht="13.5" customHeight="1">
      <c r="B49" s="359"/>
      <c r="C49" s="359"/>
    </row>
    <row r="50" spans="2:10" ht="13.5" customHeight="1">
      <c r="B50" s="359"/>
      <c r="C50" s="359"/>
    </row>
    <row r="51" spans="2:10" ht="13.5" customHeight="1">
      <c r="B51" s="359"/>
      <c r="C51" s="359"/>
    </row>
    <row r="52" spans="2:10" ht="13.5" customHeight="1">
      <c r="B52" s="359"/>
      <c r="C52" s="359"/>
    </row>
    <row r="53" spans="2:10" ht="13.5" customHeight="1">
      <c r="B53" s="359"/>
      <c r="C53" s="359"/>
    </row>
    <row r="54" spans="2:10" ht="13.8">
      <c r="B54" s="1353" t="s">
        <v>3172</v>
      </c>
      <c r="C54" s="1353"/>
      <c r="D54" s="1353"/>
      <c r="E54" s="1353"/>
      <c r="F54" s="1353"/>
      <c r="G54" s="1353"/>
      <c r="H54" s="1353"/>
      <c r="I54" s="1353"/>
      <c r="J54" s="1353"/>
    </row>
  </sheetData>
  <sheetProtection algorithmName="SHA-512" hashValue="zUUz5pfFvyAEjtSXhi3rvJWchueUDrqZ4gj1vwBipEiHQyoPCq5J+PSLoaMG52f+/gaMEyroJG2OK6V9Fb2j8w==" saltValue="zpOCbRIx1Gef7daoRzpgzw==" spinCount="100000" sheet="1" objects="1" scenarios="1"/>
  <mergeCells count="7">
    <mergeCell ref="B3:J3"/>
    <mergeCell ref="B5:J5"/>
    <mergeCell ref="B30:J30"/>
    <mergeCell ref="B32:J32"/>
    <mergeCell ref="B54:J54"/>
    <mergeCell ref="I11:I12"/>
    <mergeCell ref="J11:J12"/>
  </mergeCells>
  <pageMargins left="0.25" right="0.25" top="0.5" bottom="0.5" header="0.25" footer="0.25"/>
  <pageSetup paperSize="5" orientation="portrait" r:id="rId1"/>
  <headerFooter alignWithMargins="0"/>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DD609-AC6C-4EA7-9974-8A6AEE57D673}">
  <sheetPr codeName="Sheet292">
    <tabColor theme="3" tint="0.79998168889431442"/>
  </sheetPr>
  <dimension ref="B1:AC52"/>
  <sheetViews>
    <sheetView zoomScaleNormal="100" zoomScaleSheetLayoutView="80" workbookViewId="0">
      <selection activeCell="O16" sqref="O16"/>
    </sheetView>
  </sheetViews>
  <sheetFormatPr defaultColWidth="8.88671875" defaultRowHeight="13.2"/>
  <cols>
    <col min="1" max="3" width="4.6640625" style="267" customWidth="1"/>
    <col min="4" max="4" width="4.5546875" style="267" customWidth="1"/>
    <col min="5" max="5" width="8.88671875" style="267"/>
    <col min="6" max="6" width="6.6640625" style="267" customWidth="1"/>
    <col min="7" max="10" width="16.6640625" style="267" customWidth="1"/>
    <col min="11" max="20" width="8.88671875" style="267"/>
    <col min="21" max="23" width="4.6640625" customWidth="1"/>
    <col min="25" max="25" width="6.6640625" customWidth="1"/>
    <col min="26" max="29" width="16.6640625" customWidth="1"/>
    <col min="30" max="16384" width="8.88671875" style="267"/>
  </cols>
  <sheetData>
    <row r="1" spans="2:19">
      <c r="D1" s="359"/>
      <c r="E1" s="359"/>
    </row>
    <row r="2" spans="2:19">
      <c r="D2" s="359"/>
      <c r="E2" s="359"/>
    </row>
    <row r="3" spans="2:19" ht="24.6">
      <c r="B3" s="1460" t="str">
        <f>UPPER('KEY INPUTS'!D$59)&amp;" UTILITY FUND"</f>
        <v xml:space="preserve"> UTILITY FUND</v>
      </c>
      <c r="C3" s="1460"/>
      <c r="D3" s="1460"/>
      <c r="E3" s="1460"/>
      <c r="F3" s="1460"/>
      <c r="G3" s="1460"/>
      <c r="H3" s="1460"/>
      <c r="I3" s="1460"/>
      <c r="J3" s="1460"/>
    </row>
    <row r="5" spans="2:19" ht="17.399999999999999">
      <c r="B5" s="1380" t="str">
        <f>"CAPITAL  IMPROVEMENTS  AUTHORIZED  IN  "&amp;IF('KEY INPUTS'!C42="State Fiscal Year","FISCAL  YEAR  "&amp;'KEY INPUTS'!D33&amp;"",'KEY INPUTS'!D34+1)&amp;""</f>
        <v>CAPITAL  IMPROVEMENTS  AUTHORIZED  IN  2025</v>
      </c>
      <c r="C5" s="1380"/>
      <c r="D5" s="1380"/>
      <c r="E5" s="1380"/>
      <c r="F5" s="1380"/>
      <c r="G5" s="1380"/>
      <c r="H5" s="1380"/>
      <c r="I5" s="1380"/>
      <c r="J5" s="1380"/>
    </row>
    <row r="6" spans="2:19" ht="17.399999999999999">
      <c r="B6" s="1380" t="s">
        <v>3569</v>
      </c>
      <c r="C6" s="1380"/>
      <c r="D6" s="1380"/>
      <c r="E6" s="1380"/>
      <c r="F6" s="1380"/>
      <c r="G6" s="1380"/>
      <c r="H6" s="1380"/>
      <c r="I6" s="1380"/>
      <c r="J6" s="1380"/>
    </row>
    <row r="7" spans="2:19" ht="13.8" thickBot="1"/>
    <row r="8" spans="2:19" ht="13.8" thickTop="1">
      <c r="B8" s="323"/>
      <c r="C8" s="323"/>
      <c r="D8" s="323"/>
      <c r="E8" s="323"/>
      <c r="F8" s="323"/>
      <c r="G8" s="324"/>
      <c r="H8" s="324"/>
      <c r="I8" s="324"/>
      <c r="J8" s="353" t="s">
        <v>240</v>
      </c>
    </row>
    <row r="9" spans="2:19">
      <c r="C9" s="1352" t="s">
        <v>413</v>
      </c>
      <c r="D9" s="1352"/>
      <c r="E9" s="1352"/>
      <c r="G9" s="320" t="s">
        <v>414</v>
      </c>
      <c r="H9" s="320" t="s">
        <v>201</v>
      </c>
      <c r="I9" s="320" t="s">
        <v>204</v>
      </c>
      <c r="J9" s="302" t="s">
        <v>241</v>
      </c>
    </row>
    <row r="10" spans="2:19">
      <c r="G10" s="320" t="s">
        <v>202</v>
      </c>
      <c r="H10" s="320" t="s">
        <v>203</v>
      </c>
      <c r="I10" s="320" t="s">
        <v>205</v>
      </c>
      <c r="J10" s="302" t="str">
        <f>"of " &amp;IF('KEY INPUTS'!C42="State Fiscal Year","FY "&amp;'KEY INPUTS'!D33&amp;"",'KEY INPUTS'!D34+1)&amp;" or"</f>
        <v>of 2025 or</v>
      </c>
    </row>
    <row r="11" spans="2:19" ht="13.8" thickBot="1">
      <c r="B11" s="318"/>
      <c r="C11" s="318"/>
      <c r="D11" s="318"/>
      <c r="E11" s="318"/>
      <c r="F11" s="318"/>
      <c r="G11" s="317"/>
      <c r="H11" s="317" t="s">
        <v>441</v>
      </c>
      <c r="I11" s="317" t="s">
        <v>239</v>
      </c>
      <c r="J11" s="416" t="s">
        <v>3579</v>
      </c>
      <c r="M11"/>
      <c r="N11"/>
      <c r="O11"/>
      <c r="P11"/>
      <c r="Q11"/>
      <c r="R11"/>
      <c r="S11"/>
    </row>
    <row r="12" spans="2:19" ht="21" customHeight="1" thickTop="1">
      <c r="B12" s="518"/>
      <c r="C12" s="518"/>
      <c r="D12" s="518"/>
      <c r="E12" s="518"/>
      <c r="F12" s="518"/>
      <c r="G12" s="454"/>
      <c r="H12" s="454"/>
      <c r="I12" s="454"/>
      <c r="J12" s="486"/>
      <c r="M12"/>
      <c r="N12"/>
      <c r="O12"/>
      <c r="P12"/>
      <c r="Q12"/>
      <c r="R12"/>
      <c r="S12"/>
    </row>
    <row r="13" spans="2:19" ht="21" customHeight="1">
      <c r="B13" s="495"/>
      <c r="C13" s="495"/>
      <c r="D13" s="495"/>
      <c r="E13" s="495"/>
      <c r="F13" s="495"/>
      <c r="G13" s="450"/>
      <c r="H13" s="450"/>
      <c r="I13" s="450"/>
      <c r="J13" s="457"/>
      <c r="M13" s="294"/>
      <c r="N13"/>
      <c r="O13"/>
      <c r="P13"/>
      <c r="Q13"/>
      <c r="R13"/>
      <c r="S13"/>
    </row>
    <row r="14" spans="2:19" ht="21" customHeight="1">
      <c r="B14" s="495"/>
      <c r="C14" s="495"/>
      <c r="D14" s="495"/>
      <c r="E14" s="495"/>
      <c r="F14" s="495"/>
      <c r="G14" s="450"/>
      <c r="H14" s="450"/>
      <c r="I14" s="450"/>
      <c r="J14" s="457"/>
      <c r="M14"/>
      <c r="N14"/>
      <c r="O14"/>
      <c r="P14"/>
      <c r="Q14"/>
      <c r="R14"/>
      <c r="S14"/>
    </row>
    <row r="15" spans="2:19" ht="21" customHeight="1">
      <c r="B15" s="495"/>
      <c r="C15" s="495"/>
      <c r="D15" s="495"/>
      <c r="E15" s="495"/>
      <c r="F15" s="495"/>
      <c r="G15" s="450"/>
      <c r="H15" s="450"/>
      <c r="I15" s="450"/>
      <c r="J15" s="457"/>
      <c r="M15"/>
      <c r="N15"/>
      <c r="O15"/>
      <c r="P15"/>
      <c r="Q15"/>
      <c r="R15"/>
      <c r="S15"/>
    </row>
    <row r="16" spans="2:19" ht="21" customHeight="1">
      <c r="B16" s="495"/>
      <c r="C16" s="495"/>
      <c r="D16" s="495"/>
      <c r="E16" s="495"/>
      <c r="F16" s="495"/>
      <c r="G16" s="450"/>
      <c r="H16" s="450"/>
      <c r="I16" s="450"/>
      <c r="J16" s="457"/>
      <c r="M16"/>
      <c r="N16"/>
      <c r="O16"/>
      <c r="P16"/>
      <c r="Q16"/>
      <c r="R16"/>
      <c r="S16"/>
    </row>
    <row r="17" spans="2:19" ht="21" customHeight="1">
      <c r="B17" s="495"/>
      <c r="C17" s="495"/>
      <c r="D17" s="495"/>
      <c r="E17" s="495"/>
      <c r="F17" s="495"/>
      <c r="G17" s="450"/>
      <c r="H17" s="450"/>
      <c r="I17" s="450"/>
      <c r="J17" s="457"/>
      <c r="M17"/>
      <c r="N17"/>
      <c r="O17"/>
      <c r="P17"/>
      <c r="Q17"/>
      <c r="R17"/>
      <c r="S17"/>
    </row>
    <row r="18" spans="2:19" ht="21" customHeight="1">
      <c r="B18" s="495"/>
      <c r="C18" s="495"/>
      <c r="D18" s="495"/>
      <c r="E18" s="495"/>
      <c r="F18" s="495"/>
      <c r="G18" s="450"/>
      <c r="H18" s="450"/>
      <c r="I18" s="450"/>
      <c r="J18" s="457"/>
      <c r="M18"/>
      <c r="N18"/>
      <c r="O18"/>
      <c r="P18"/>
      <c r="Q18"/>
      <c r="R18"/>
      <c r="S18"/>
    </row>
    <row r="19" spans="2:19" ht="21" customHeight="1">
      <c r="B19" s="495"/>
      <c r="C19" s="495"/>
      <c r="D19" s="495"/>
      <c r="E19" s="495"/>
      <c r="F19" s="495"/>
      <c r="G19" s="450"/>
      <c r="H19" s="450"/>
      <c r="I19" s="450"/>
      <c r="J19" s="457"/>
      <c r="M19"/>
      <c r="N19"/>
      <c r="O19"/>
      <c r="P19"/>
      <c r="Q19"/>
      <c r="R19"/>
      <c r="S19"/>
    </row>
    <row r="20" spans="2:19" ht="21" customHeight="1">
      <c r="B20" s="495"/>
      <c r="C20" s="495"/>
      <c r="D20" s="495"/>
      <c r="E20" s="495"/>
      <c r="F20" s="495"/>
      <c r="G20" s="450"/>
      <c r="H20" s="450"/>
      <c r="I20" s="450"/>
      <c r="J20" s="457"/>
      <c r="M20"/>
      <c r="N20"/>
      <c r="O20"/>
      <c r="P20"/>
      <c r="Q20"/>
      <c r="R20"/>
      <c r="S20"/>
    </row>
    <row r="21" spans="2:19" ht="21" customHeight="1" thickBot="1">
      <c r="B21" s="495"/>
      <c r="C21" s="495"/>
      <c r="D21" s="495"/>
      <c r="E21" s="495"/>
      <c r="F21" s="495"/>
      <c r="G21" s="475"/>
      <c r="H21" s="475"/>
      <c r="I21" s="475"/>
      <c r="J21" s="516"/>
      <c r="M21"/>
      <c r="N21"/>
      <c r="O21"/>
      <c r="P21"/>
      <c r="Q21"/>
      <c r="R21"/>
      <c r="S21"/>
    </row>
    <row r="22" spans="2:19" ht="21" customHeight="1" thickTop="1" thickBot="1">
      <c r="B22" s="318"/>
      <c r="C22" s="318"/>
      <c r="D22" s="318"/>
      <c r="E22" s="318"/>
      <c r="F22" s="318"/>
      <c r="G22" s="755">
        <f>SUM(G12:G21)</f>
        <v>0</v>
      </c>
      <c r="H22" s="755">
        <f>SUM(H12:H21)</f>
        <v>0</v>
      </c>
      <c r="I22" s="755">
        <f>SUM(I12:I21)</f>
        <v>0</v>
      </c>
      <c r="J22" s="746">
        <f>SUM(J12:J21)</f>
        <v>0</v>
      </c>
      <c r="M22"/>
      <c r="N22"/>
      <c r="O22"/>
      <c r="P22"/>
      <c r="Q22"/>
      <c r="R22"/>
      <c r="S22"/>
    </row>
    <row r="23" spans="2:19" ht="13.8" thickTop="1">
      <c r="M23"/>
      <c r="N23"/>
      <c r="O23"/>
      <c r="P23"/>
      <c r="Q23"/>
      <c r="R23"/>
      <c r="S23"/>
    </row>
    <row r="24" spans="2:19">
      <c r="M24"/>
      <c r="N24"/>
      <c r="O24"/>
      <c r="P24"/>
      <c r="Q24"/>
      <c r="R24"/>
      <c r="S24"/>
    </row>
    <row r="25" spans="2:19">
      <c r="M25"/>
      <c r="N25"/>
      <c r="O25"/>
      <c r="P25"/>
      <c r="Q25"/>
      <c r="R25"/>
      <c r="S25"/>
    </row>
    <row r="26" spans="2:19">
      <c r="M26"/>
      <c r="N26"/>
      <c r="O26"/>
      <c r="P26"/>
      <c r="Q26"/>
      <c r="R26"/>
      <c r="S26"/>
    </row>
    <row r="27" spans="2:19">
      <c r="M27"/>
      <c r="N27"/>
      <c r="O27"/>
      <c r="P27"/>
      <c r="Q27"/>
      <c r="R27"/>
      <c r="S27"/>
    </row>
    <row r="28" spans="2:19" ht="22.8">
      <c r="B28" s="1358" t="str">
        <f>UPPER('KEY INPUTS'!D$59)&amp;" UTILITY  CAPITAL  FUND"</f>
        <v xml:space="preserve"> UTILITY  CAPITAL  FUND</v>
      </c>
      <c r="C28" s="1358"/>
      <c r="D28" s="1358"/>
      <c r="E28" s="1358"/>
      <c r="F28" s="1358"/>
      <c r="G28" s="1358"/>
      <c r="H28" s="1358"/>
      <c r="I28" s="1358"/>
      <c r="J28" s="1358"/>
    </row>
    <row r="29" spans="2:19" ht="22.8">
      <c r="B29" s="1358" t="s">
        <v>154</v>
      </c>
      <c r="C29" s="1358"/>
      <c r="D29" s="1358"/>
      <c r="E29" s="1358"/>
      <c r="F29" s="1358"/>
      <c r="G29" s="1358"/>
      <c r="H29" s="1358"/>
      <c r="I29" s="1358"/>
      <c r="J29" s="1358"/>
    </row>
    <row r="31" spans="2:19" ht="15.6">
      <c r="B31" s="1354" t="str">
        <f>IF('KEY INPUTS'!C42="State Fiscal Year",(UPPER("Fiscal Year "&amp;'KEY INPUTS'!D33))&amp;"",'KEY INPUTS'!D34+1)&amp;""</f>
        <v>2025</v>
      </c>
      <c r="C31" s="1354"/>
      <c r="D31" s="1354"/>
      <c r="E31" s="1354"/>
      <c r="F31" s="1354"/>
      <c r="G31" s="1354"/>
      <c r="H31" s="1354"/>
      <c r="I31" s="1354"/>
      <c r="J31" s="1354"/>
    </row>
    <row r="32" spans="2:19" ht="13.8" thickBot="1"/>
    <row r="33" spans="2:10" ht="28.5" customHeight="1" thickTop="1" thickBot="1">
      <c r="B33" s="364"/>
      <c r="C33" s="364"/>
      <c r="D33" s="364"/>
      <c r="E33" s="364"/>
      <c r="F33" s="364"/>
      <c r="G33" s="364"/>
      <c r="H33" s="364"/>
      <c r="I33" s="304" t="s">
        <v>96</v>
      </c>
      <c r="J33" s="308" t="s">
        <v>97</v>
      </c>
    </row>
    <row r="34" spans="2:10" ht="21" customHeight="1" thickTop="1">
      <c r="B34" s="547" t="str">
        <f>IF('KEY INPUTS'!C42 = "State Fiscal Year", 'KEY INPUTS'!F25,'KEY INPUTS'!D25)</f>
        <v>Balance - January 1, 2024</v>
      </c>
      <c r="C34" s="313"/>
      <c r="D34" s="313"/>
      <c r="E34" s="313"/>
      <c r="F34" s="313"/>
      <c r="G34" s="313"/>
      <c r="H34" s="313"/>
      <c r="I34" s="757" t="s">
        <v>627</v>
      </c>
      <c r="J34" s="485"/>
    </row>
    <row r="35" spans="2:10" ht="21" customHeight="1">
      <c r="B35" s="248" t="s">
        <v>155</v>
      </c>
      <c r="C35" s="248"/>
      <c r="D35" s="248"/>
      <c r="E35" s="248"/>
      <c r="F35" s="248"/>
      <c r="G35" s="248"/>
      <c r="H35" s="248"/>
      <c r="I35" s="702" t="s">
        <v>627</v>
      </c>
      <c r="J35" s="429"/>
    </row>
    <row r="36" spans="2:10" ht="21" customHeight="1">
      <c r="B36" s="248" t="s">
        <v>156</v>
      </c>
      <c r="C36" s="248"/>
      <c r="D36" s="248"/>
      <c r="E36" s="248"/>
      <c r="F36" s="248"/>
      <c r="G36" s="248"/>
      <c r="H36" s="248"/>
      <c r="I36" s="702" t="s">
        <v>627</v>
      </c>
      <c r="J36" s="429"/>
    </row>
    <row r="37" spans="2:10" ht="21" customHeight="1">
      <c r="B37" s="495" t="s">
        <v>3212</v>
      </c>
      <c r="C37" s="495"/>
      <c r="D37" s="495"/>
      <c r="E37" s="495"/>
      <c r="F37" s="495"/>
      <c r="G37" s="495"/>
      <c r="H37" s="495"/>
      <c r="I37" s="722"/>
      <c r="J37" s="429"/>
    </row>
    <row r="38" spans="2:10" ht="21" customHeight="1">
      <c r="B38" s="495"/>
      <c r="C38" s="495"/>
      <c r="D38" s="495"/>
      <c r="E38" s="495"/>
      <c r="F38" s="495"/>
      <c r="G38" s="495"/>
      <c r="H38" s="495"/>
      <c r="I38" s="291"/>
      <c r="J38" s="429"/>
    </row>
    <row r="39" spans="2:10" ht="21" customHeight="1">
      <c r="B39" s="495"/>
      <c r="C39" s="495"/>
      <c r="D39" s="495"/>
      <c r="E39" s="495"/>
      <c r="F39" s="495"/>
      <c r="G39" s="495"/>
      <c r="H39" s="495"/>
      <c r="I39" s="291"/>
      <c r="J39" s="429"/>
    </row>
    <row r="40" spans="2:10" ht="21" customHeight="1">
      <c r="B40" s="248" t="s">
        <v>3174</v>
      </c>
      <c r="C40" s="248"/>
      <c r="D40" s="248"/>
      <c r="E40" s="248"/>
      <c r="F40" s="248"/>
      <c r="G40" s="248"/>
      <c r="H40" s="248"/>
      <c r="I40" s="291"/>
      <c r="J40" s="706" t="s">
        <v>627</v>
      </c>
    </row>
    <row r="41" spans="2:10" ht="21" customHeight="1">
      <c r="B41" s="248" t="str">
        <f>"Appropriation to "&amp;IF('KEY INPUTS'!C42="State Fiscal Year","Fiscal Year "&amp;'KEY INPUTS'!D33&amp;"",'KEY INPUTS'!D34+1)&amp;" Budget Reserve"</f>
        <v>Appropriation to 2025 Budget Reserve</v>
      </c>
      <c r="C41" s="248"/>
      <c r="D41" s="248"/>
      <c r="E41" s="248"/>
      <c r="F41" s="248"/>
      <c r="G41" s="414"/>
      <c r="H41" s="248"/>
      <c r="I41" s="450"/>
      <c r="J41" s="706" t="s">
        <v>627</v>
      </c>
    </row>
    <row r="42" spans="2:10" ht="21" customHeight="1">
      <c r="B42" s="248" t="str">
        <f>IF('KEY INPUTS'!C42 = "State Fiscal Year", 'KEY INPUTS'!F26,'KEY INPUTS'!D26)</f>
        <v>Balance - December 31, 2024</v>
      </c>
      <c r="C42" s="248"/>
      <c r="D42" s="248"/>
      <c r="E42" s="248"/>
      <c r="F42" s="248"/>
      <c r="G42" s="248"/>
      <c r="H42" s="248"/>
      <c r="I42" s="629">
        <f>SUM(J34:J39)-SUM(I37:I41)</f>
        <v>0</v>
      </c>
      <c r="J42" s="706" t="s">
        <v>627</v>
      </c>
    </row>
    <row r="43" spans="2:10" ht="21" customHeight="1" thickBot="1">
      <c r="I43" s="724">
        <f>SUM(I34:I42)</f>
        <v>0</v>
      </c>
      <c r="J43" s="712">
        <f>SUM(J34:J42)</f>
        <v>0</v>
      </c>
    </row>
    <row r="44" spans="2:10" ht="21" customHeight="1" thickTop="1"/>
    <row r="45" spans="2:10" ht="21" customHeight="1"/>
    <row r="46" spans="2:10" ht="21" customHeight="1"/>
    <row r="47" spans="2:10" ht="21" customHeight="1"/>
    <row r="48" spans="2:10" ht="21" customHeight="1"/>
    <row r="49" spans="2:10" ht="21" customHeight="1"/>
    <row r="52" spans="2:10" ht="13.8">
      <c r="B52" s="1353" t="s">
        <v>3173</v>
      </c>
      <c r="C52" s="1353"/>
      <c r="D52" s="1353"/>
      <c r="E52" s="1353"/>
      <c r="F52" s="1353"/>
      <c r="G52" s="1353"/>
      <c r="H52" s="1353"/>
      <c r="I52" s="1353"/>
      <c r="J52" s="1353"/>
    </row>
  </sheetData>
  <sheetProtection algorithmName="SHA-512" hashValue="V1wmMAxeysnJQqEryowrS+IH6b/rQTt6s+/Zjiu14Dcfg3prK4Km2jmY5hWJ0cBTz+aFXMD5cFeJGl7BqhPjmQ==" saltValue="l+fAISluKDJaO/Hx0C0bzQ==" spinCount="100000"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92431-8D8C-4747-8709-3AFBC91D8229}">
  <sheetPr codeName="Sheet306">
    <tabColor theme="6" tint="0.39997558519241921"/>
  </sheetPr>
  <dimension ref="A1:B306"/>
  <sheetViews>
    <sheetView topLeftCell="A271" workbookViewId="0">
      <selection activeCell="H159" sqref="H159"/>
    </sheetView>
  </sheetViews>
  <sheetFormatPr defaultRowHeight="13.2"/>
  <cols>
    <col min="2" max="2" width="28.88671875" bestFit="1" customWidth="1"/>
  </cols>
  <sheetData>
    <row r="1" spans="1:2">
      <c r="A1">
        <v>1</v>
      </c>
      <c r="B1" t="str">
        <f>INDEX(SheetNames,A1)</f>
        <v>Instructions</v>
      </c>
    </row>
    <row r="2" spans="1:2">
      <c r="A2">
        <f>A1+1</f>
        <v>2</v>
      </c>
      <c r="B2" t="str">
        <f t="shared" ref="B2:B65" si="0">INDEX(SheetNames,A2)</f>
        <v>69 - Instructions</v>
      </c>
    </row>
    <row r="3" spans="1:2">
      <c r="A3">
        <f t="shared" ref="A3:A66" si="1">A2+1</f>
        <v>3</v>
      </c>
      <c r="B3" t="str">
        <f t="shared" si="0"/>
        <v>KEY INPUTS</v>
      </c>
    </row>
    <row r="4" spans="1:2">
      <c r="A4">
        <f t="shared" si="1"/>
        <v>4</v>
      </c>
      <c r="B4" t="str">
        <f t="shared" si="0"/>
        <v>KEY METRICS</v>
      </c>
    </row>
    <row r="5" spans="1:2">
      <c r="A5">
        <f t="shared" si="1"/>
        <v>5</v>
      </c>
      <c r="B5" t="str">
        <f t="shared" si="0"/>
        <v>1- Cover</v>
      </c>
    </row>
    <row r="6" spans="1:2">
      <c r="A6">
        <f t="shared" si="1"/>
        <v>6</v>
      </c>
      <c r="B6" t="str">
        <f t="shared" si="0"/>
        <v>1a - RMA Certification</v>
      </c>
    </row>
    <row r="7" spans="1:2">
      <c r="A7">
        <f t="shared" si="1"/>
        <v>7</v>
      </c>
      <c r="B7" t="str">
        <f t="shared" si="0"/>
        <v>1b - Local Exam Qual Cert</v>
      </c>
    </row>
    <row r="8" spans="1:2">
      <c r="A8">
        <f t="shared" si="1"/>
        <v>8</v>
      </c>
      <c r="B8" t="str">
        <f t="shared" si="0"/>
        <v>1c - Fed &amp; State Finan Asst.</v>
      </c>
    </row>
    <row r="9" spans="1:2">
      <c r="A9">
        <f t="shared" si="1"/>
        <v>9</v>
      </c>
      <c r="B9" t="str">
        <f t="shared" si="0"/>
        <v>2 - No Utility Fund Cert</v>
      </c>
    </row>
    <row r="10" spans="1:2">
      <c r="A10">
        <f t="shared" si="1"/>
        <v>10</v>
      </c>
      <c r="B10" t="str">
        <f t="shared" si="0"/>
        <v>3-Trial Bal-Current Fund</v>
      </c>
    </row>
    <row r="11" spans="1:2">
      <c r="A11">
        <f t="shared" si="1"/>
        <v>11</v>
      </c>
      <c r="B11" t="str">
        <f t="shared" si="0"/>
        <v>3a-Trial Bal-Current Fund</v>
      </c>
    </row>
    <row r="12" spans="1:2">
      <c r="A12">
        <f t="shared" si="1"/>
        <v>12</v>
      </c>
      <c r="B12" t="str">
        <f t="shared" si="0"/>
        <v>3a.1-Trial Bal-Current Fund</v>
      </c>
    </row>
    <row r="13" spans="1:2">
      <c r="A13">
        <f t="shared" si="1"/>
        <v>13</v>
      </c>
      <c r="B13" t="str">
        <f t="shared" si="0"/>
        <v>4-Trial Bal-Pub Assist Fnd</v>
      </c>
    </row>
    <row r="14" spans="1:2">
      <c r="A14">
        <f t="shared" si="1"/>
        <v>14</v>
      </c>
      <c r="B14" t="str">
        <f t="shared" si="0"/>
        <v>5-Trial Bal-Grants</v>
      </c>
    </row>
    <row r="15" spans="1:2">
      <c r="A15">
        <f t="shared" si="1"/>
        <v>15</v>
      </c>
      <c r="B15" t="str">
        <f t="shared" si="0"/>
        <v>6-Trial Bal-Trust Fnds</v>
      </c>
    </row>
    <row r="16" spans="1:2">
      <c r="A16">
        <f t="shared" si="1"/>
        <v>16</v>
      </c>
      <c r="B16" t="str">
        <f t="shared" si="0"/>
        <v>6.1-Trial Bal-Trust Fnds</v>
      </c>
    </row>
    <row r="17" spans="1:2">
      <c r="A17">
        <f t="shared" si="1"/>
        <v>17</v>
      </c>
      <c r="B17" t="str">
        <f t="shared" si="0"/>
        <v>6.2-Trial Bal-Trust Fnds</v>
      </c>
    </row>
    <row r="18" spans="1:2">
      <c r="A18">
        <f t="shared" si="1"/>
        <v>18</v>
      </c>
      <c r="B18" t="str">
        <f t="shared" si="0"/>
        <v>6.3-Trial Bal-Trust Fnds</v>
      </c>
    </row>
    <row r="19" spans="1:2">
      <c r="A19">
        <f t="shared" si="1"/>
        <v>19</v>
      </c>
      <c r="B19" t="str">
        <f t="shared" si="0"/>
        <v>6.4-Trial Bal-Trust Fnds</v>
      </c>
    </row>
    <row r="20" spans="1:2">
      <c r="A20">
        <f t="shared" si="1"/>
        <v>20</v>
      </c>
      <c r="B20" t="str">
        <f t="shared" si="0"/>
        <v>6.TOTAL-Trial Bal-Trust Fnds</v>
      </c>
    </row>
    <row r="21" spans="1:2">
      <c r="A21">
        <f t="shared" si="1"/>
        <v>21</v>
      </c>
      <c r="B21" t="str">
        <f t="shared" si="0"/>
        <v>6b-Trust Fund Reserves</v>
      </c>
    </row>
    <row r="22" spans="1:2">
      <c r="A22">
        <f t="shared" si="1"/>
        <v>22</v>
      </c>
      <c r="B22" t="str">
        <f t="shared" si="0"/>
        <v>6b.1-Trust Fund Reserves</v>
      </c>
    </row>
    <row r="23" spans="1:2">
      <c r="A23">
        <f t="shared" si="1"/>
        <v>23</v>
      </c>
      <c r="B23" t="str">
        <f t="shared" si="0"/>
        <v>6b.2-Trust Fund Reserves</v>
      </c>
    </row>
    <row r="24" spans="1:2">
      <c r="A24">
        <f t="shared" si="1"/>
        <v>24</v>
      </c>
      <c r="B24" t="str">
        <f t="shared" si="0"/>
        <v>6b.3-Trust Fund Reserves</v>
      </c>
    </row>
    <row r="25" spans="1:2">
      <c r="A25">
        <f t="shared" si="1"/>
        <v>25</v>
      </c>
      <c r="B25" t="str">
        <f t="shared" si="0"/>
        <v>6b-Total Trust Fund Reserves</v>
      </c>
    </row>
    <row r="26" spans="1:2">
      <c r="A26">
        <f t="shared" si="1"/>
        <v>26</v>
      </c>
      <c r="B26" t="str">
        <f t="shared" si="0"/>
        <v>7-Trust Asm Cash &amp; Investments</v>
      </c>
    </row>
    <row r="27" spans="1:2">
      <c r="A27">
        <f t="shared" si="1"/>
        <v>27</v>
      </c>
      <c r="B27" t="str">
        <f t="shared" si="0"/>
        <v>8-Trial Bal-Gen Cap Fund</v>
      </c>
    </row>
    <row r="28" spans="1:2">
      <c r="A28">
        <f t="shared" si="1"/>
        <v>28</v>
      </c>
      <c r="B28" t="str">
        <f t="shared" si="0"/>
        <v>8.1-Trial Bal-Gen Cap Fund</v>
      </c>
    </row>
    <row r="29" spans="1:2">
      <c r="A29">
        <f t="shared" si="1"/>
        <v>29</v>
      </c>
      <c r="B29" t="str">
        <f t="shared" si="0"/>
        <v>9-Cash Reconciliation</v>
      </c>
    </row>
    <row r="30" spans="1:2">
      <c r="A30">
        <f t="shared" si="1"/>
        <v>30</v>
      </c>
      <c r="B30" t="str">
        <f t="shared" si="0"/>
        <v>9a-Cash Reconciliation</v>
      </c>
    </row>
    <row r="31" spans="1:2">
      <c r="A31">
        <f t="shared" si="1"/>
        <v>31</v>
      </c>
      <c r="B31" t="str">
        <f t="shared" si="0"/>
        <v>9a.1-Cash Reconciliation</v>
      </c>
    </row>
    <row r="32" spans="1:2">
      <c r="A32">
        <f t="shared" si="1"/>
        <v>32</v>
      </c>
      <c r="B32" t="str">
        <f t="shared" si="0"/>
        <v>9a.2-Cash Reconciliation</v>
      </c>
    </row>
    <row r="33" spans="1:2">
      <c r="A33">
        <f t="shared" si="1"/>
        <v>33</v>
      </c>
      <c r="B33" t="str">
        <f t="shared" si="0"/>
        <v>9a.3-Cash Reconciliation</v>
      </c>
    </row>
    <row r="34" spans="1:2">
      <c r="A34">
        <f t="shared" si="1"/>
        <v>34</v>
      </c>
      <c r="B34" t="str">
        <f t="shared" si="0"/>
        <v>9a TOTAL-Cash Reconciliation</v>
      </c>
    </row>
    <row r="35" spans="1:2">
      <c r="A35">
        <f t="shared" si="1"/>
        <v>35</v>
      </c>
      <c r="B35" t="str">
        <f t="shared" si="0"/>
        <v>10-Grants Receivable</v>
      </c>
    </row>
    <row r="36" spans="1:2">
      <c r="A36">
        <f t="shared" si="1"/>
        <v>36</v>
      </c>
      <c r="B36" t="str">
        <f t="shared" si="0"/>
        <v>10.1-Grants Receivable</v>
      </c>
    </row>
    <row r="37" spans="1:2">
      <c r="A37">
        <f t="shared" si="1"/>
        <v>37</v>
      </c>
      <c r="B37" t="str">
        <f t="shared" si="0"/>
        <v>10.2-Grants Receivable</v>
      </c>
    </row>
    <row r="38" spans="1:2">
      <c r="A38">
        <f t="shared" si="1"/>
        <v>38</v>
      </c>
      <c r="B38" t="str">
        <f t="shared" si="0"/>
        <v>10.3-Grants Receivable</v>
      </c>
    </row>
    <row r="39" spans="1:2">
      <c r="A39">
        <f t="shared" si="1"/>
        <v>39</v>
      </c>
      <c r="B39" t="str">
        <f t="shared" si="0"/>
        <v>10.4-Grants Receivable</v>
      </c>
    </row>
    <row r="40" spans="1:2">
      <c r="A40">
        <f t="shared" si="1"/>
        <v>40</v>
      </c>
      <c r="B40" t="str">
        <f t="shared" si="0"/>
        <v>10.5-Grants Receivable</v>
      </c>
    </row>
    <row r="41" spans="1:2">
      <c r="A41">
        <f t="shared" si="1"/>
        <v>41</v>
      </c>
      <c r="B41" t="str">
        <f t="shared" si="0"/>
        <v>10.6-Grants Receivable</v>
      </c>
    </row>
    <row r="42" spans="1:2">
      <c r="A42">
        <f t="shared" si="1"/>
        <v>42</v>
      </c>
      <c r="B42" t="str">
        <f t="shared" si="0"/>
        <v>10.7-Grants Receivable</v>
      </c>
    </row>
    <row r="43" spans="1:2">
      <c r="A43">
        <f t="shared" si="1"/>
        <v>43</v>
      </c>
      <c r="B43" t="str">
        <f t="shared" si="0"/>
        <v>10.8-Grants Receivable</v>
      </c>
    </row>
    <row r="44" spans="1:2">
      <c r="A44">
        <f t="shared" si="1"/>
        <v>44</v>
      </c>
      <c r="B44" t="str">
        <f t="shared" si="0"/>
        <v>10.9-Grants Receivable</v>
      </c>
    </row>
    <row r="45" spans="1:2">
      <c r="A45">
        <f t="shared" si="1"/>
        <v>45</v>
      </c>
      <c r="B45" t="str">
        <f t="shared" si="0"/>
        <v>10.10-Grants Receivable</v>
      </c>
    </row>
    <row r="46" spans="1:2">
      <c r="A46">
        <f t="shared" si="1"/>
        <v>46</v>
      </c>
      <c r="B46" t="str">
        <f t="shared" si="0"/>
        <v>10.11-Grants Receivable</v>
      </c>
    </row>
    <row r="47" spans="1:2">
      <c r="A47">
        <f t="shared" si="1"/>
        <v>47</v>
      </c>
      <c r="B47" t="str">
        <f t="shared" si="0"/>
        <v>10.12-Grants Receivable</v>
      </c>
    </row>
    <row r="48" spans="1:2">
      <c r="A48">
        <f t="shared" si="1"/>
        <v>48</v>
      </c>
      <c r="B48" t="str">
        <f t="shared" si="0"/>
        <v>10.13-Grants Receivable</v>
      </c>
    </row>
    <row r="49" spans="1:2">
      <c r="A49">
        <f t="shared" si="1"/>
        <v>49</v>
      </c>
      <c r="B49" t="str">
        <f t="shared" si="0"/>
        <v>10.14-Grants Receivable</v>
      </c>
    </row>
    <row r="50" spans="1:2">
      <c r="A50">
        <f t="shared" si="1"/>
        <v>50</v>
      </c>
      <c r="B50" t="str">
        <f t="shared" si="0"/>
        <v>10.15-Grants Receivable</v>
      </c>
    </row>
    <row r="51" spans="1:2">
      <c r="A51">
        <f t="shared" si="1"/>
        <v>51</v>
      </c>
      <c r="B51" t="str">
        <f t="shared" si="0"/>
        <v>10.16-Grants Receivable</v>
      </c>
    </row>
    <row r="52" spans="1:2">
      <c r="A52">
        <f t="shared" si="1"/>
        <v>52</v>
      </c>
      <c r="B52" t="str">
        <f t="shared" si="0"/>
        <v>10.17-Grants Receivable</v>
      </c>
    </row>
    <row r="53" spans="1:2">
      <c r="A53">
        <f t="shared" si="1"/>
        <v>53</v>
      </c>
      <c r="B53" t="str">
        <f t="shared" si="0"/>
        <v>10.18-Grants Receivable</v>
      </c>
    </row>
    <row r="54" spans="1:2">
      <c r="A54">
        <f t="shared" si="1"/>
        <v>54</v>
      </c>
      <c r="B54" t="str">
        <f t="shared" si="0"/>
        <v>10.19-Grants Receivable</v>
      </c>
    </row>
    <row r="55" spans="1:2">
      <c r="A55">
        <f t="shared" si="1"/>
        <v>55</v>
      </c>
      <c r="B55" t="str">
        <f t="shared" si="0"/>
        <v>10.20-Grants Receivable</v>
      </c>
    </row>
    <row r="56" spans="1:2">
      <c r="A56">
        <f t="shared" si="1"/>
        <v>56</v>
      </c>
      <c r="B56" t="str">
        <f t="shared" si="0"/>
        <v>10.21-Grants Receivable</v>
      </c>
    </row>
    <row r="57" spans="1:2">
      <c r="A57">
        <f t="shared" si="1"/>
        <v>57</v>
      </c>
      <c r="B57" t="str">
        <f t="shared" si="0"/>
        <v>10.22-Grants Receivable</v>
      </c>
    </row>
    <row r="58" spans="1:2">
      <c r="A58">
        <f t="shared" si="1"/>
        <v>58</v>
      </c>
      <c r="B58" t="str">
        <f t="shared" si="0"/>
        <v>10.23-Grants Receivable</v>
      </c>
    </row>
    <row r="59" spans="1:2">
      <c r="A59">
        <f t="shared" si="1"/>
        <v>59</v>
      </c>
      <c r="B59" t="str">
        <f t="shared" si="0"/>
        <v>10.24-Grants Receivable</v>
      </c>
    </row>
    <row r="60" spans="1:2">
      <c r="A60">
        <f t="shared" si="1"/>
        <v>60</v>
      </c>
      <c r="B60" t="str">
        <f t="shared" si="0"/>
        <v>10 Totals Grants Receivable</v>
      </c>
    </row>
    <row r="61" spans="1:2">
      <c r="A61">
        <f t="shared" si="1"/>
        <v>61</v>
      </c>
      <c r="B61" t="str">
        <f t="shared" si="0"/>
        <v>11 Grants Approp Rsrv</v>
      </c>
    </row>
    <row r="62" spans="1:2">
      <c r="A62">
        <f t="shared" si="1"/>
        <v>62</v>
      </c>
      <c r="B62" t="str">
        <f t="shared" si="0"/>
        <v>11.1 Grants Approp Rsrv</v>
      </c>
    </row>
    <row r="63" spans="1:2">
      <c r="A63">
        <f t="shared" si="1"/>
        <v>63</v>
      </c>
      <c r="B63" t="str">
        <f t="shared" si="0"/>
        <v>11.2 Grants Approp Rsrv</v>
      </c>
    </row>
    <row r="64" spans="1:2">
      <c r="A64">
        <f t="shared" si="1"/>
        <v>64</v>
      </c>
      <c r="B64" t="str">
        <f t="shared" si="0"/>
        <v>11.3 Grants Approp Rsrv</v>
      </c>
    </row>
    <row r="65" spans="1:2">
      <c r="A65">
        <f t="shared" si="1"/>
        <v>65</v>
      </c>
      <c r="B65" t="str">
        <f t="shared" si="0"/>
        <v>11.4 Grants Approp Rsrv</v>
      </c>
    </row>
    <row r="66" spans="1:2">
      <c r="A66">
        <f t="shared" si="1"/>
        <v>66</v>
      </c>
      <c r="B66" t="str">
        <f t="shared" ref="B66:B129" si="2">INDEX(SheetNames,A66)</f>
        <v>11.5 Grants Approp Rsrv</v>
      </c>
    </row>
    <row r="67" spans="1:2">
      <c r="A67">
        <f t="shared" ref="A67:A130" si="3">A66+1</f>
        <v>67</v>
      </c>
      <c r="B67" t="str">
        <f t="shared" si="2"/>
        <v>11.6 Grants Approp Rsrv</v>
      </c>
    </row>
    <row r="68" spans="1:2">
      <c r="A68">
        <f t="shared" si="3"/>
        <v>68</v>
      </c>
      <c r="B68" t="str">
        <f t="shared" si="2"/>
        <v>11.7 Grants Approp Rsrv</v>
      </c>
    </row>
    <row r="69" spans="1:2">
      <c r="A69">
        <f t="shared" si="3"/>
        <v>69</v>
      </c>
      <c r="B69" t="str">
        <f t="shared" si="2"/>
        <v>11.8 Grants Approp Rsrv</v>
      </c>
    </row>
    <row r="70" spans="1:2">
      <c r="A70">
        <f t="shared" si="3"/>
        <v>70</v>
      </c>
      <c r="B70" t="str">
        <f t="shared" si="2"/>
        <v>11.9 Grants Approp Rsrv</v>
      </c>
    </row>
    <row r="71" spans="1:2">
      <c r="A71">
        <f t="shared" si="3"/>
        <v>71</v>
      </c>
      <c r="B71" t="str">
        <f t="shared" si="2"/>
        <v>11.10 Grants Approp Rsrv</v>
      </c>
    </row>
    <row r="72" spans="1:2">
      <c r="A72">
        <f t="shared" si="3"/>
        <v>72</v>
      </c>
      <c r="B72" t="str">
        <f t="shared" si="2"/>
        <v>11.11 Grants Approp Rsrv</v>
      </c>
    </row>
    <row r="73" spans="1:2">
      <c r="A73">
        <f t="shared" si="3"/>
        <v>73</v>
      </c>
      <c r="B73" t="str">
        <f t="shared" si="2"/>
        <v>11.12 Grants Approp Rsrv</v>
      </c>
    </row>
    <row r="74" spans="1:2">
      <c r="A74">
        <f t="shared" si="3"/>
        <v>74</v>
      </c>
      <c r="B74" t="str">
        <f t="shared" si="2"/>
        <v>11.13 Grants Approp Rsrv</v>
      </c>
    </row>
    <row r="75" spans="1:2">
      <c r="A75">
        <f t="shared" si="3"/>
        <v>75</v>
      </c>
      <c r="B75" t="str">
        <f t="shared" si="2"/>
        <v>11.14 Grants Approp Rsrv</v>
      </c>
    </row>
    <row r="76" spans="1:2">
      <c r="A76">
        <f t="shared" si="3"/>
        <v>76</v>
      </c>
      <c r="B76" t="str">
        <f t="shared" si="2"/>
        <v>11.15 Grants Approp Rsrv</v>
      </c>
    </row>
    <row r="77" spans="1:2">
      <c r="A77">
        <f t="shared" si="3"/>
        <v>77</v>
      </c>
      <c r="B77" t="str">
        <f t="shared" si="2"/>
        <v>11.16 Grants Approp Rsrv</v>
      </c>
    </row>
    <row r="78" spans="1:2">
      <c r="A78">
        <f t="shared" si="3"/>
        <v>78</v>
      </c>
      <c r="B78" t="str">
        <f t="shared" si="2"/>
        <v>11.17 Grants Approp Rsrv</v>
      </c>
    </row>
    <row r="79" spans="1:2">
      <c r="A79">
        <f t="shared" si="3"/>
        <v>79</v>
      </c>
      <c r="B79" t="str">
        <f t="shared" si="2"/>
        <v>11.18 Grants Approp Rsrv</v>
      </c>
    </row>
    <row r="80" spans="1:2">
      <c r="A80">
        <f t="shared" si="3"/>
        <v>80</v>
      </c>
      <c r="B80" t="str">
        <f t="shared" si="2"/>
        <v>11.19 Grants Approp Rsrv</v>
      </c>
    </row>
    <row r="81" spans="1:2">
      <c r="A81">
        <f t="shared" si="3"/>
        <v>81</v>
      </c>
      <c r="B81" t="str">
        <f t="shared" si="2"/>
        <v>11.20 Grants Approp Rsrv</v>
      </c>
    </row>
    <row r="82" spans="1:2">
      <c r="A82">
        <f t="shared" si="3"/>
        <v>82</v>
      </c>
      <c r="B82" t="str">
        <f t="shared" si="2"/>
        <v>11.21 Grants Approp Rsrv</v>
      </c>
    </row>
    <row r="83" spans="1:2">
      <c r="A83">
        <f t="shared" si="3"/>
        <v>83</v>
      </c>
      <c r="B83" t="str">
        <f t="shared" si="2"/>
        <v>11.22 Grants Approp Rsrv</v>
      </c>
    </row>
    <row r="84" spans="1:2">
      <c r="A84">
        <f t="shared" si="3"/>
        <v>84</v>
      </c>
      <c r="B84" t="str">
        <f t="shared" si="2"/>
        <v>11.23 Grants Approp Rsrv</v>
      </c>
    </row>
    <row r="85" spans="1:2">
      <c r="A85">
        <f t="shared" si="3"/>
        <v>85</v>
      </c>
      <c r="B85" t="str">
        <f t="shared" si="2"/>
        <v>11.24 Grants Approp Rsrv</v>
      </c>
    </row>
    <row r="86" spans="1:2">
      <c r="A86">
        <f t="shared" si="3"/>
        <v>86</v>
      </c>
      <c r="B86" t="str">
        <f t="shared" si="2"/>
        <v>11.25 Grants Approp Rsrv</v>
      </c>
    </row>
    <row r="87" spans="1:2">
      <c r="A87">
        <f t="shared" si="3"/>
        <v>87</v>
      </c>
      <c r="B87" t="str">
        <f t="shared" si="2"/>
        <v>11.26 Grants Approp Rsrv</v>
      </c>
    </row>
    <row r="88" spans="1:2">
      <c r="A88">
        <f t="shared" si="3"/>
        <v>88</v>
      </c>
      <c r="B88" t="str">
        <f t="shared" si="2"/>
        <v>11.27 Grants Approp Rsrv</v>
      </c>
    </row>
    <row r="89" spans="1:2">
      <c r="A89">
        <f t="shared" si="3"/>
        <v>89</v>
      </c>
      <c r="B89" t="str">
        <f t="shared" si="2"/>
        <v>11.28 Grants Approp Rsrv</v>
      </c>
    </row>
    <row r="90" spans="1:2">
      <c r="A90">
        <f t="shared" si="3"/>
        <v>90</v>
      </c>
      <c r="B90" t="str">
        <f t="shared" si="2"/>
        <v>11.29 Grants Approp Rsrv</v>
      </c>
    </row>
    <row r="91" spans="1:2">
      <c r="A91">
        <f t="shared" si="3"/>
        <v>91</v>
      </c>
      <c r="B91" t="str">
        <f t="shared" si="2"/>
        <v>11.30 Grants Approp Rsrv</v>
      </c>
    </row>
    <row r="92" spans="1:2">
      <c r="A92">
        <f t="shared" si="3"/>
        <v>92</v>
      </c>
      <c r="B92" t="str">
        <f t="shared" si="2"/>
        <v>11.31 Grants Approp Rsrv</v>
      </c>
    </row>
    <row r="93" spans="1:2">
      <c r="A93">
        <f t="shared" si="3"/>
        <v>93</v>
      </c>
      <c r="B93" t="str">
        <f t="shared" si="2"/>
        <v>11.32 Grants Approp Rsrv</v>
      </c>
    </row>
    <row r="94" spans="1:2">
      <c r="A94">
        <f t="shared" si="3"/>
        <v>94</v>
      </c>
      <c r="B94" t="str">
        <f t="shared" si="2"/>
        <v>11.33 Grants Approp Rsrv</v>
      </c>
    </row>
    <row r="95" spans="1:2">
      <c r="A95">
        <f t="shared" si="3"/>
        <v>95</v>
      </c>
      <c r="B95" t="str">
        <f t="shared" si="2"/>
        <v>11.34 Grants Approp Rsrv</v>
      </c>
    </row>
    <row r="96" spans="1:2">
      <c r="A96">
        <f t="shared" si="3"/>
        <v>96</v>
      </c>
      <c r="B96" t="str">
        <f t="shared" si="2"/>
        <v>11.35 Grants Approp Rsrv</v>
      </c>
    </row>
    <row r="97" spans="1:2">
      <c r="A97">
        <f t="shared" si="3"/>
        <v>97</v>
      </c>
      <c r="B97" t="str">
        <f t="shared" si="2"/>
        <v>11.36 Grants Approp Rsrv</v>
      </c>
    </row>
    <row r="98" spans="1:2">
      <c r="A98">
        <f t="shared" si="3"/>
        <v>98</v>
      </c>
      <c r="B98" t="str">
        <f t="shared" si="2"/>
        <v>11.37 Grants Approp Rsrv</v>
      </c>
    </row>
    <row r="99" spans="1:2">
      <c r="A99">
        <f t="shared" si="3"/>
        <v>99</v>
      </c>
      <c r="B99" t="str">
        <f t="shared" si="2"/>
        <v>11.38 Grants Approp Rsrv</v>
      </c>
    </row>
    <row r="100" spans="1:2">
      <c r="A100">
        <f t="shared" si="3"/>
        <v>100</v>
      </c>
      <c r="B100" t="str">
        <f t="shared" si="2"/>
        <v>11.39 Grants Approp Rsrv</v>
      </c>
    </row>
    <row r="101" spans="1:2">
      <c r="A101">
        <f t="shared" si="3"/>
        <v>101</v>
      </c>
      <c r="B101" t="str">
        <f t="shared" si="2"/>
        <v>11- Totals Grants Approp Rsrv</v>
      </c>
    </row>
    <row r="102" spans="1:2">
      <c r="A102">
        <f t="shared" si="3"/>
        <v>102</v>
      </c>
      <c r="B102" t="str">
        <f t="shared" si="2"/>
        <v>12-Grants Unappropriated</v>
      </c>
    </row>
    <row r="103" spans="1:2">
      <c r="A103">
        <f t="shared" si="3"/>
        <v>103</v>
      </c>
      <c r="B103" t="str">
        <f t="shared" si="2"/>
        <v>12.1-Grants Unappropriated</v>
      </c>
    </row>
    <row r="104" spans="1:2">
      <c r="A104">
        <f t="shared" si="3"/>
        <v>104</v>
      </c>
      <c r="B104" t="str">
        <f t="shared" si="2"/>
        <v>12.2-Grants Unappropriated</v>
      </c>
    </row>
    <row r="105" spans="1:2">
      <c r="A105">
        <f t="shared" si="3"/>
        <v>105</v>
      </c>
      <c r="B105" t="str">
        <f t="shared" si="2"/>
        <v>12 Total-Grants Unappropriated</v>
      </c>
    </row>
    <row r="106" spans="1:2">
      <c r="A106">
        <f t="shared" si="3"/>
        <v>106</v>
      </c>
      <c r="B106" t="str">
        <f t="shared" si="2"/>
        <v>13-Other Taxes</v>
      </c>
    </row>
    <row r="107" spans="1:2">
      <c r="A107">
        <f t="shared" si="3"/>
        <v>107</v>
      </c>
      <c r="B107" t="str">
        <f t="shared" si="2"/>
        <v>14-Other Taxes</v>
      </c>
    </row>
    <row r="108" spans="1:2">
      <c r="A108">
        <f t="shared" si="3"/>
        <v>108</v>
      </c>
      <c r="B108" t="str">
        <f t="shared" si="2"/>
        <v>15-Other Taxes</v>
      </c>
    </row>
    <row r="109" spans="1:2">
      <c r="A109">
        <f t="shared" si="3"/>
        <v>109</v>
      </c>
      <c r="B109" t="str">
        <f t="shared" si="2"/>
        <v>17-Budget Revenues</v>
      </c>
    </row>
    <row r="110" spans="1:2">
      <c r="A110">
        <f t="shared" si="3"/>
        <v>110</v>
      </c>
      <c r="B110" t="str">
        <f t="shared" si="2"/>
        <v>17a-Budget Revenues</v>
      </c>
    </row>
    <row r="111" spans="1:2">
      <c r="A111">
        <f t="shared" si="3"/>
        <v>111</v>
      </c>
      <c r="B111" t="str">
        <f t="shared" si="2"/>
        <v xml:space="preserve">17a.1-Budget Revenues </v>
      </c>
    </row>
    <row r="112" spans="1:2">
      <c r="A112">
        <f t="shared" si="3"/>
        <v>112</v>
      </c>
      <c r="B112" t="str">
        <f t="shared" si="2"/>
        <v>17a.2-Budget Revenues</v>
      </c>
    </row>
    <row r="113" spans="1:2">
      <c r="A113">
        <f t="shared" si="3"/>
        <v>113</v>
      </c>
      <c r="B113" t="str">
        <f t="shared" si="2"/>
        <v>17a.3-Budget Revenues</v>
      </c>
    </row>
    <row r="114" spans="1:2">
      <c r="A114">
        <f t="shared" si="3"/>
        <v>114</v>
      </c>
      <c r="B114" t="str">
        <f t="shared" si="2"/>
        <v>17a Totals-Budget Revenues</v>
      </c>
    </row>
    <row r="115" spans="1:2">
      <c r="A115">
        <f t="shared" si="3"/>
        <v>115</v>
      </c>
      <c r="B115" t="str">
        <f t="shared" si="2"/>
        <v>18-Budget Appropriations</v>
      </c>
    </row>
    <row r="116" spans="1:2">
      <c r="A116">
        <f t="shared" si="3"/>
        <v>116</v>
      </c>
      <c r="B116" t="str">
        <f t="shared" si="2"/>
        <v>19-Results of Op-Cur Fnd</v>
      </c>
    </row>
    <row r="117" spans="1:2">
      <c r="A117">
        <f t="shared" si="3"/>
        <v>117</v>
      </c>
      <c r="B117" t="str">
        <f t="shared" si="2"/>
        <v>20-Misc Rev Not Ant</v>
      </c>
    </row>
    <row r="118" spans="1:2">
      <c r="A118">
        <f t="shared" si="3"/>
        <v>118</v>
      </c>
      <c r="B118" t="str">
        <f t="shared" si="2"/>
        <v>20.1-Misc Rev Not Ant</v>
      </c>
    </row>
    <row r="119" spans="1:2">
      <c r="A119">
        <f t="shared" si="3"/>
        <v>119</v>
      </c>
      <c r="B119" t="str">
        <f t="shared" si="2"/>
        <v>20 Total-Misc Rev Not Ant</v>
      </c>
    </row>
    <row r="120" spans="1:2">
      <c r="A120">
        <f t="shared" si="3"/>
        <v>120</v>
      </c>
      <c r="B120" t="str">
        <f t="shared" si="2"/>
        <v>21-Current Fund Surplus</v>
      </c>
    </row>
    <row r="121" spans="1:2">
      <c r="A121">
        <f t="shared" si="3"/>
        <v>121</v>
      </c>
      <c r="B121" t="str">
        <f t="shared" si="2"/>
        <v>22-CY Levy</v>
      </c>
    </row>
    <row r="122" spans="1:2">
      <c r="A122">
        <f t="shared" si="3"/>
        <v>122</v>
      </c>
      <c r="B122" t="str">
        <f t="shared" si="2"/>
        <v>22a-Tax Levy Sale</v>
      </c>
    </row>
    <row r="123" spans="1:2">
      <c r="A123">
        <f t="shared" si="3"/>
        <v>123</v>
      </c>
      <c r="B123" t="str">
        <f t="shared" si="2"/>
        <v>23-SCVet Deductions</v>
      </c>
    </row>
    <row r="124" spans="1:2">
      <c r="A124">
        <f t="shared" si="3"/>
        <v>124</v>
      </c>
      <c r="B124" t="str">
        <f t="shared" si="2"/>
        <v>24-Reserves for Tax Appeals</v>
      </c>
    </row>
    <row r="125" spans="1:2">
      <c r="A125">
        <f t="shared" si="3"/>
        <v>125</v>
      </c>
      <c r="B125" t="str">
        <f t="shared" si="2"/>
        <v>26-Delinquent Taxes and Liens</v>
      </c>
    </row>
    <row r="126" spans="1:2">
      <c r="A126">
        <f t="shared" si="3"/>
        <v>126</v>
      </c>
      <c r="B126" t="str">
        <f t="shared" si="2"/>
        <v>27-Foreclosed Property</v>
      </c>
    </row>
    <row r="127" spans="1:2">
      <c r="A127">
        <f t="shared" si="3"/>
        <v>127</v>
      </c>
      <c r="B127" t="str">
        <f t="shared" si="2"/>
        <v>28-Deferred Charges</v>
      </c>
    </row>
    <row r="128" spans="1:2">
      <c r="A128">
        <f t="shared" si="3"/>
        <v>128</v>
      </c>
      <c r="B128" t="str">
        <f t="shared" si="2"/>
        <v>29-Special Emergency</v>
      </c>
    </row>
    <row r="129" spans="1:2">
      <c r="A129">
        <f t="shared" si="3"/>
        <v>129</v>
      </c>
      <c r="B129" t="str">
        <f t="shared" si="2"/>
        <v>30-Special Emergency</v>
      </c>
    </row>
    <row r="130" spans="1:2">
      <c r="A130">
        <f t="shared" si="3"/>
        <v>130</v>
      </c>
      <c r="B130" t="str">
        <f t="shared" ref="B130:B193" si="4">INDEX(SheetNames,A130)</f>
        <v>31-Capital Bond Schedule</v>
      </c>
    </row>
    <row r="131" spans="1:2">
      <c r="A131">
        <f t="shared" ref="A131:A194" si="5">A130+1</f>
        <v>131</v>
      </c>
      <c r="B131" t="str">
        <f t="shared" si="4"/>
        <v>31A-Loan Schedule</v>
      </c>
    </row>
    <row r="132" spans="1:2">
      <c r="A132">
        <f t="shared" si="5"/>
        <v>132</v>
      </c>
      <c r="B132" t="str">
        <f t="shared" si="4"/>
        <v>31A.1-Loan Schedule</v>
      </c>
    </row>
    <row r="133" spans="1:2">
      <c r="A133">
        <f t="shared" si="5"/>
        <v>133</v>
      </c>
      <c r="B133" t="str">
        <f t="shared" si="4"/>
        <v>31A.2-Loan Schedule</v>
      </c>
    </row>
    <row r="134" spans="1:2">
      <c r="A134">
        <f t="shared" si="5"/>
        <v>134</v>
      </c>
      <c r="B134" t="str">
        <f t="shared" si="4"/>
        <v>32-Bond Schedule</v>
      </c>
    </row>
    <row r="135" spans="1:2">
      <c r="A135">
        <f t="shared" si="5"/>
        <v>135</v>
      </c>
      <c r="B135" t="str">
        <f t="shared" si="4"/>
        <v>33-Note Debt Service</v>
      </c>
    </row>
    <row r="136" spans="1:2">
      <c r="A136">
        <f t="shared" si="5"/>
        <v>136</v>
      </c>
      <c r="B136" t="str">
        <f t="shared" si="4"/>
        <v>33.1-Note Debt Service</v>
      </c>
    </row>
    <row r="137" spans="1:2">
      <c r="A137">
        <f t="shared" si="5"/>
        <v>137</v>
      </c>
      <c r="B137" t="str">
        <f t="shared" si="4"/>
        <v>33 Totals-Note Debt Service</v>
      </c>
    </row>
    <row r="138" spans="1:2">
      <c r="A138">
        <f t="shared" si="5"/>
        <v>138</v>
      </c>
      <c r="B138" t="str">
        <f t="shared" si="4"/>
        <v>34-Assmt Note Debt Service</v>
      </c>
    </row>
    <row r="139" spans="1:2">
      <c r="A139">
        <f t="shared" si="5"/>
        <v>139</v>
      </c>
      <c r="B139" t="str">
        <f t="shared" si="4"/>
        <v>34a-Cap Lease Program Oblg</v>
      </c>
    </row>
    <row r="140" spans="1:2">
      <c r="A140">
        <f t="shared" si="5"/>
        <v>140</v>
      </c>
      <c r="B140" t="str">
        <f t="shared" si="4"/>
        <v>35- Cap Fund Imprv Auth</v>
      </c>
    </row>
    <row r="141" spans="1:2">
      <c r="A141">
        <f t="shared" si="5"/>
        <v>141</v>
      </c>
      <c r="B141" t="str">
        <f t="shared" si="4"/>
        <v xml:space="preserve">35.1- Cap Fund Imprv Auth </v>
      </c>
    </row>
    <row r="142" spans="1:2">
      <c r="A142">
        <f t="shared" si="5"/>
        <v>142</v>
      </c>
      <c r="B142" t="str">
        <f t="shared" si="4"/>
        <v>35.2- Cap Fund Imprv Auth</v>
      </c>
    </row>
    <row r="143" spans="1:2">
      <c r="A143">
        <f t="shared" si="5"/>
        <v>143</v>
      </c>
      <c r="B143" t="str">
        <f t="shared" si="4"/>
        <v>35.3- Cap Fund Imprv Auth</v>
      </c>
    </row>
    <row r="144" spans="1:2">
      <c r="A144">
        <f t="shared" si="5"/>
        <v>144</v>
      </c>
      <c r="B144" t="str">
        <f t="shared" si="4"/>
        <v>35.4- Cap Fund Imprv Auth</v>
      </c>
    </row>
    <row r="145" spans="1:2">
      <c r="A145">
        <f t="shared" si="5"/>
        <v>145</v>
      </c>
      <c r="B145" t="str">
        <f t="shared" si="4"/>
        <v>35.5- Cap Fund Imprv Auth</v>
      </c>
    </row>
    <row r="146" spans="1:2">
      <c r="A146">
        <f t="shared" si="5"/>
        <v>146</v>
      </c>
      <c r="B146" t="str">
        <f t="shared" si="4"/>
        <v>35.6- Cap Fund Imprv Auth</v>
      </c>
    </row>
    <row r="147" spans="1:2">
      <c r="A147">
        <f t="shared" si="5"/>
        <v>147</v>
      </c>
      <c r="B147" t="str">
        <f t="shared" si="4"/>
        <v>35.7- Cap Fund Imprv Auth</v>
      </c>
    </row>
    <row r="148" spans="1:2">
      <c r="A148">
        <f t="shared" si="5"/>
        <v>148</v>
      </c>
      <c r="B148" t="str">
        <f t="shared" si="4"/>
        <v>35.8- Cap Fund Imprv Auth</v>
      </c>
    </row>
    <row r="149" spans="1:2">
      <c r="A149">
        <f t="shared" si="5"/>
        <v>149</v>
      </c>
      <c r="B149" t="str">
        <f t="shared" si="4"/>
        <v>35.9- Cap Fund Imprv Auth</v>
      </c>
    </row>
    <row r="150" spans="1:2">
      <c r="A150">
        <f t="shared" si="5"/>
        <v>150</v>
      </c>
      <c r="B150" t="str">
        <f t="shared" si="4"/>
        <v>35 Totals- Cap Fund Imprv Auth</v>
      </c>
    </row>
    <row r="151" spans="1:2">
      <c r="A151">
        <f t="shared" si="5"/>
        <v>151</v>
      </c>
      <c r="B151" t="str">
        <f t="shared" si="4"/>
        <v>36- Capital Improvement Fund</v>
      </c>
    </row>
    <row r="152" spans="1:2">
      <c r="A152">
        <f t="shared" si="5"/>
        <v>152</v>
      </c>
      <c r="B152" t="str">
        <f t="shared" si="4"/>
        <v>37- Cap Fund Down Pymts</v>
      </c>
    </row>
    <row r="153" spans="1:2">
      <c r="A153">
        <f t="shared" si="5"/>
        <v>153</v>
      </c>
      <c r="B153" t="str">
        <f t="shared" si="4"/>
        <v>37- Cap Fund Down Pymts (2)</v>
      </c>
    </row>
    <row r="154" spans="1:2">
      <c r="A154">
        <f t="shared" si="5"/>
        <v>154</v>
      </c>
      <c r="B154" t="str">
        <f t="shared" si="4"/>
        <v>38- Capital Surplus</v>
      </c>
    </row>
    <row r="155" spans="1:2">
      <c r="A155">
        <f t="shared" si="5"/>
        <v>155</v>
      </c>
      <c r="B155" t="str">
        <f t="shared" si="4"/>
        <v>39- Req. Information</v>
      </c>
    </row>
    <row r="156" spans="1:2">
      <c r="A156">
        <f t="shared" si="5"/>
        <v>156</v>
      </c>
      <c r="B156" t="str">
        <f t="shared" si="4"/>
        <v>40</v>
      </c>
    </row>
    <row r="157" spans="1:2">
      <c r="A157">
        <f t="shared" si="5"/>
        <v>157</v>
      </c>
      <c r="B157" t="str">
        <f t="shared" si="4"/>
        <v>41-Utility1</v>
      </c>
    </row>
    <row r="158" spans="1:2">
      <c r="A158">
        <f t="shared" si="5"/>
        <v>158</v>
      </c>
      <c r="B158" t="str">
        <f t="shared" si="4"/>
        <v>41a-Utility1</v>
      </c>
    </row>
    <row r="159" spans="1:2">
      <c r="A159">
        <f t="shared" si="5"/>
        <v>159</v>
      </c>
      <c r="B159" t="str">
        <f t="shared" si="4"/>
        <v>41a.1-Utility1</v>
      </c>
    </row>
    <row r="160" spans="1:2">
      <c r="A160">
        <f t="shared" si="5"/>
        <v>160</v>
      </c>
      <c r="B160" t="str">
        <f t="shared" si="4"/>
        <v>42-Utility1</v>
      </c>
    </row>
    <row r="161" spans="1:2">
      <c r="A161">
        <f t="shared" si="5"/>
        <v>161</v>
      </c>
      <c r="B161" t="str">
        <f t="shared" si="4"/>
        <v>43-Utility1</v>
      </c>
    </row>
    <row r="162" spans="1:2">
      <c r="A162">
        <f t="shared" si="5"/>
        <v>162</v>
      </c>
      <c r="B162" t="str">
        <f t="shared" si="4"/>
        <v>44-Utility1</v>
      </c>
    </row>
    <row r="163" spans="1:2">
      <c r="A163">
        <f t="shared" si="5"/>
        <v>163</v>
      </c>
      <c r="B163" t="str">
        <f t="shared" si="4"/>
        <v>45-Utility1</v>
      </c>
    </row>
    <row r="164" spans="1:2">
      <c r="A164">
        <f t="shared" si="5"/>
        <v>164</v>
      </c>
      <c r="B164" t="str">
        <f t="shared" si="4"/>
        <v>46-Utility1</v>
      </c>
    </row>
    <row r="165" spans="1:2">
      <c r="A165">
        <f t="shared" si="5"/>
        <v>165</v>
      </c>
      <c r="B165" t="str">
        <f t="shared" si="4"/>
        <v>47-Utility1</v>
      </c>
    </row>
    <row r="166" spans="1:2">
      <c r="A166">
        <f t="shared" si="5"/>
        <v>166</v>
      </c>
      <c r="B166" t="str">
        <f t="shared" si="4"/>
        <v>48-Utility1</v>
      </c>
    </row>
    <row r="167" spans="1:2">
      <c r="A167">
        <f t="shared" si="5"/>
        <v>167</v>
      </c>
      <c r="B167" t="str">
        <f t="shared" si="4"/>
        <v>48a-Utility1</v>
      </c>
    </row>
    <row r="168" spans="1:2">
      <c r="A168">
        <f t="shared" si="5"/>
        <v>168</v>
      </c>
      <c r="B168" t="str">
        <f t="shared" si="4"/>
        <v>49-Utility1</v>
      </c>
    </row>
    <row r="169" spans="1:2">
      <c r="A169">
        <f t="shared" si="5"/>
        <v>169</v>
      </c>
      <c r="B169" t="str">
        <f t="shared" si="4"/>
        <v>49a-Utility1</v>
      </c>
    </row>
    <row r="170" spans="1:2">
      <c r="A170">
        <f t="shared" si="5"/>
        <v>170</v>
      </c>
      <c r="B170" t="str">
        <f t="shared" si="4"/>
        <v>49a.1-Utility1</v>
      </c>
    </row>
    <row r="171" spans="1:2">
      <c r="A171">
        <f t="shared" si="5"/>
        <v>171</v>
      </c>
      <c r="B171" t="str">
        <f t="shared" si="4"/>
        <v>50-Utility1</v>
      </c>
    </row>
    <row r="172" spans="1:2">
      <c r="A172">
        <f t="shared" si="5"/>
        <v>172</v>
      </c>
      <c r="B172" t="str">
        <f t="shared" si="4"/>
        <v>50.1-Utility1</v>
      </c>
    </row>
    <row r="173" spans="1:2">
      <c r="A173">
        <f t="shared" si="5"/>
        <v>173</v>
      </c>
      <c r="B173" t="str">
        <f t="shared" si="4"/>
        <v>51-Utility1</v>
      </c>
    </row>
    <row r="174" spans="1:2">
      <c r="A174">
        <f t="shared" si="5"/>
        <v>174</v>
      </c>
      <c r="B174" t="str">
        <f t="shared" si="4"/>
        <v>51a-Utility1</v>
      </c>
    </row>
    <row r="175" spans="1:2">
      <c r="A175">
        <f t="shared" si="5"/>
        <v>175</v>
      </c>
      <c r="B175" t="str">
        <f t="shared" si="4"/>
        <v>52-Utility1</v>
      </c>
    </row>
    <row r="176" spans="1:2">
      <c r="A176">
        <f t="shared" si="5"/>
        <v>176</v>
      </c>
      <c r="B176" t="str">
        <f t="shared" si="4"/>
        <v>52.1-Utility1</v>
      </c>
    </row>
    <row r="177" spans="1:2">
      <c r="A177">
        <f t="shared" si="5"/>
        <v>177</v>
      </c>
      <c r="B177" t="str">
        <f t="shared" si="4"/>
        <v>52.2-Utility1</v>
      </c>
    </row>
    <row r="178" spans="1:2">
      <c r="A178">
        <f t="shared" si="5"/>
        <v>178</v>
      </c>
      <c r="B178" t="str">
        <f t="shared" si="4"/>
        <v>52.3-Utility1</v>
      </c>
    </row>
    <row r="179" spans="1:2">
      <c r="A179">
        <f t="shared" si="5"/>
        <v>179</v>
      </c>
      <c r="B179" t="str">
        <f t="shared" si="4"/>
        <v>52-Totals-Utility1</v>
      </c>
    </row>
    <row r="180" spans="1:2">
      <c r="A180">
        <f t="shared" si="5"/>
        <v>180</v>
      </c>
      <c r="B180" t="str">
        <f t="shared" si="4"/>
        <v>53-Utility1</v>
      </c>
    </row>
    <row r="181" spans="1:2">
      <c r="A181">
        <f t="shared" si="5"/>
        <v>181</v>
      </c>
      <c r="B181" t="str">
        <f>INDEX(SheetNames,A181)</f>
        <v>54-Utility1</v>
      </c>
    </row>
    <row r="182" spans="1:2">
      <c r="A182">
        <f t="shared" si="5"/>
        <v>182</v>
      </c>
      <c r="B182" t="str">
        <f>INDEX(SheetNames,A182)</f>
        <v>41-Utility2</v>
      </c>
    </row>
    <row r="183" spans="1:2">
      <c r="A183">
        <f t="shared" si="5"/>
        <v>183</v>
      </c>
      <c r="B183" t="str">
        <f>INDEX(SheetNames,A183)</f>
        <v>41a-Utility2</v>
      </c>
    </row>
    <row r="184" spans="1:2">
      <c r="A184">
        <f t="shared" si="5"/>
        <v>184</v>
      </c>
      <c r="B184" t="str">
        <f t="shared" si="4"/>
        <v>41a.1-Utility2</v>
      </c>
    </row>
    <row r="185" spans="1:2">
      <c r="A185">
        <f t="shared" si="5"/>
        <v>185</v>
      </c>
      <c r="B185" t="str">
        <f t="shared" si="4"/>
        <v>42-Utility2</v>
      </c>
    </row>
    <row r="186" spans="1:2">
      <c r="A186">
        <f t="shared" si="5"/>
        <v>186</v>
      </c>
      <c r="B186" t="str">
        <f t="shared" si="4"/>
        <v>43-Utility2</v>
      </c>
    </row>
    <row r="187" spans="1:2">
      <c r="A187">
        <f t="shared" si="5"/>
        <v>187</v>
      </c>
      <c r="B187" t="str">
        <f t="shared" si="4"/>
        <v>44-Utility2</v>
      </c>
    </row>
    <row r="188" spans="1:2">
      <c r="A188">
        <f t="shared" si="5"/>
        <v>188</v>
      </c>
      <c r="B188" t="str">
        <f t="shared" si="4"/>
        <v>45-Utility2</v>
      </c>
    </row>
    <row r="189" spans="1:2">
      <c r="A189">
        <f t="shared" si="5"/>
        <v>189</v>
      </c>
      <c r="B189" t="str">
        <f t="shared" si="4"/>
        <v>46-Utility2</v>
      </c>
    </row>
    <row r="190" spans="1:2">
      <c r="A190">
        <f t="shared" si="5"/>
        <v>190</v>
      </c>
      <c r="B190" t="str">
        <f t="shared" si="4"/>
        <v>47-Utility2</v>
      </c>
    </row>
    <row r="191" spans="1:2">
      <c r="A191">
        <f t="shared" si="5"/>
        <v>191</v>
      </c>
      <c r="B191" t="str">
        <f t="shared" si="4"/>
        <v>48-Utility2</v>
      </c>
    </row>
    <row r="192" spans="1:2">
      <c r="A192">
        <f t="shared" si="5"/>
        <v>192</v>
      </c>
      <c r="B192" t="str">
        <f t="shared" si="4"/>
        <v>48a-Utility2</v>
      </c>
    </row>
    <row r="193" spans="1:2">
      <c r="A193">
        <f t="shared" si="5"/>
        <v>193</v>
      </c>
      <c r="B193" t="str">
        <f t="shared" si="4"/>
        <v>49-Utility2</v>
      </c>
    </row>
    <row r="194" spans="1:2">
      <c r="A194">
        <f t="shared" si="5"/>
        <v>194</v>
      </c>
      <c r="B194" t="str">
        <f t="shared" ref="B194:B257" si="6">INDEX(SheetNames,A194)</f>
        <v>49a-Utility2</v>
      </c>
    </row>
    <row r="195" spans="1:2">
      <c r="A195">
        <f t="shared" ref="A195:A258" si="7">A194+1</f>
        <v>195</v>
      </c>
      <c r="B195" t="str">
        <f t="shared" si="6"/>
        <v>49a.1-Utility2</v>
      </c>
    </row>
    <row r="196" spans="1:2">
      <c r="A196">
        <f t="shared" si="7"/>
        <v>196</v>
      </c>
      <c r="B196" t="str">
        <f t="shared" si="6"/>
        <v>50-Utility2</v>
      </c>
    </row>
    <row r="197" spans="1:2">
      <c r="A197">
        <f t="shared" si="7"/>
        <v>197</v>
      </c>
      <c r="B197" t="str">
        <f t="shared" si="6"/>
        <v>50.1-Utility2</v>
      </c>
    </row>
    <row r="198" spans="1:2">
      <c r="A198">
        <f t="shared" si="7"/>
        <v>198</v>
      </c>
      <c r="B198" t="str">
        <f t="shared" si="6"/>
        <v>51-Utility2</v>
      </c>
    </row>
    <row r="199" spans="1:2">
      <c r="A199">
        <f t="shared" si="7"/>
        <v>199</v>
      </c>
      <c r="B199" t="str">
        <f t="shared" si="6"/>
        <v>51a-Utility2</v>
      </c>
    </row>
    <row r="200" spans="1:2">
      <c r="A200">
        <f t="shared" si="7"/>
        <v>200</v>
      </c>
      <c r="B200" t="str">
        <f t="shared" si="6"/>
        <v>52-Utility2</v>
      </c>
    </row>
    <row r="201" spans="1:2">
      <c r="A201">
        <f t="shared" si="7"/>
        <v>201</v>
      </c>
      <c r="B201" t="str">
        <f t="shared" si="6"/>
        <v>52.1-Utility2</v>
      </c>
    </row>
    <row r="202" spans="1:2">
      <c r="A202">
        <f t="shared" si="7"/>
        <v>202</v>
      </c>
      <c r="B202" t="str">
        <f t="shared" si="6"/>
        <v>52.2-Utility2</v>
      </c>
    </row>
    <row r="203" spans="1:2">
      <c r="A203">
        <f t="shared" si="7"/>
        <v>203</v>
      </c>
      <c r="B203" t="str">
        <f t="shared" si="6"/>
        <v>52.3-Utility2</v>
      </c>
    </row>
    <row r="204" spans="1:2">
      <c r="A204">
        <f t="shared" si="7"/>
        <v>204</v>
      </c>
      <c r="B204" t="str">
        <f t="shared" si="6"/>
        <v>52-Totals-Utility2</v>
      </c>
    </row>
    <row r="205" spans="1:2">
      <c r="A205">
        <f t="shared" si="7"/>
        <v>205</v>
      </c>
      <c r="B205" t="str">
        <f t="shared" si="6"/>
        <v>53-Utility2</v>
      </c>
    </row>
    <row r="206" spans="1:2">
      <c r="A206">
        <f t="shared" si="7"/>
        <v>206</v>
      </c>
      <c r="B206" t="str">
        <f t="shared" si="6"/>
        <v>54-Utility2</v>
      </c>
    </row>
    <row r="207" spans="1:2">
      <c r="A207">
        <f t="shared" si="7"/>
        <v>207</v>
      </c>
      <c r="B207" t="str">
        <f t="shared" si="6"/>
        <v>41-Utility3</v>
      </c>
    </row>
    <row r="208" spans="1:2">
      <c r="A208">
        <f t="shared" si="7"/>
        <v>208</v>
      </c>
      <c r="B208" t="str">
        <f t="shared" si="6"/>
        <v>41a-Utility3</v>
      </c>
    </row>
    <row r="209" spans="1:2">
      <c r="A209">
        <f t="shared" si="7"/>
        <v>209</v>
      </c>
      <c r="B209" t="str">
        <f t="shared" si="6"/>
        <v>41a.1-Utility3</v>
      </c>
    </row>
    <row r="210" spans="1:2">
      <c r="A210">
        <f t="shared" si="7"/>
        <v>210</v>
      </c>
      <c r="B210" t="str">
        <f t="shared" si="6"/>
        <v>42-Utility3</v>
      </c>
    </row>
    <row r="211" spans="1:2">
      <c r="A211">
        <f t="shared" si="7"/>
        <v>211</v>
      </c>
      <c r="B211" t="str">
        <f t="shared" si="6"/>
        <v>43-Utility3</v>
      </c>
    </row>
    <row r="212" spans="1:2">
      <c r="A212">
        <f t="shared" si="7"/>
        <v>212</v>
      </c>
      <c r="B212" t="str">
        <f t="shared" si="6"/>
        <v>44-Utility3</v>
      </c>
    </row>
    <row r="213" spans="1:2">
      <c r="A213">
        <f t="shared" si="7"/>
        <v>213</v>
      </c>
      <c r="B213" t="str">
        <f t="shared" si="6"/>
        <v>45-Utility3</v>
      </c>
    </row>
    <row r="214" spans="1:2">
      <c r="A214">
        <f t="shared" si="7"/>
        <v>214</v>
      </c>
      <c r="B214" t="str">
        <f t="shared" si="6"/>
        <v>46-Utility3</v>
      </c>
    </row>
    <row r="215" spans="1:2">
      <c r="A215">
        <f t="shared" si="7"/>
        <v>215</v>
      </c>
      <c r="B215" t="str">
        <f t="shared" si="6"/>
        <v>47-Utility3</v>
      </c>
    </row>
    <row r="216" spans="1:2">
      <c r="A216">
        <f t="shared" si="7"/>
        <v>216</v>
      </c>
      <c r="B216" t="str">
        <f t="shared" si="6"/>
        <v>48-Utility3</v>
      </c>
    </row>
    <row r="217" spans="1:2">
      <c r="A217">
        <f t="shared" si="7"/>
        <v>217</v>
      </c>
      <c r="B217" t="str">
        <f t="shared" si="6"/>
        <v>48a-Utility3</v>
      </c>
    </row>
    <row r="218" spans="1:2">
      <c r="A218">
        <f t="shared" si="7"/>
        <v>218</v>
      </c>
      <c r="B218" t="str">
        <f t="shared" si="6"/>
        <v>49-Utility3</v>
      </c>
    </row>
    <row r="219" spans="1:2">
      <c r="A219">
        <f t="shared" si="7"/>
        <v>219</v>
      </c>
      <c r="B219" t="str">
        <f t="shared" si="6"/>
        <v>49a-Utility3</v>
      </c>
    </row>
    <row r="220" spans="1:2">
      <c r="A220">
        <f t="shared" si="7"/>
        <v>220</v>
      </c>
      <c r="B220" t="str">
        <f t="shared" si="6"/>
        <v>49a.1-Utility3</v>
      </c>
    </row>
    <row r="221" spans="1:2">
      <c r="A221">
        <f t="shared" si="7"/>
        <v>221</v>
      </c>
      <c r="B221" t="str">
        <f t="shared" si="6"/>
        <v>50-Utility3</v>
      </c>
    </row>
    <row r="222" spans="1:2">
      <c r="A222">
        <f t="shared" si="7"/>
        <v>222</v>
      </c>
      <c r="B222" t="str">
        <f t="shared" si="6"/>
        <v>50.1-Utility3</v>
      </c>
    </row>
    <row r="223" spans="1:2">
      <c r="A223">
        <f t="shared" si="7"/>
        <v>223</v>
      </c>
      <c r="B223" t="str">
        <f t="shared" si="6"/>
        <v>51-Utility3</v>
      </c>
    </row>
    <row r="224" spans="1:2">
      <c r="A224">
        <f t="shared" si="7"/>
        <v>224</v>
      </c>
      <c r="B224" t="str">
        <f t="shared" si="6"/>
        <v>51a-Utility3</v>
      </c>
    </row>
    <row r="225" spans="1:2">
      <c r="A225">
        <f t="shared" si="7"/>
        <v>225</v>
      </c>
      <c r="B225" t="str">
        <f t="shared" si="6"/>
        <v>52-Utility3</v>
      </c>
    </row>
    <row r="226" spans="1:2">
      <c r="A226">
        <f t="shared" si="7"/>
        <v>226</v>
      </c>
      <c r="B226" t="str">
        <f t="shared" si="6"/>
        <v>52.1-Utility3</v>
      </c>
    </row>
    <row r="227" spans="1:2">
      <c r="A227">
        <f t="shared" si="7"/>
        <v>227</v>
      </c>
      <c r="B227" t="str">
        <f t="shared" si="6"/>
        <v>52.2-Utility3</v>
      </c>
    </row>
    <row r="228" spans="1:2">
      <c r="A228">
        <f t="shared" si="7"/>
        <v>228</v>
      </c>
      <c r="B228" t="str">
        <f t="shared" si="6"/>
        <v>52.3-Utility3</v>
      </c>
    </row>
    <row r="229" spans="1:2">
      <c r="A229">
        <f t="shared" si="7"/>
        <v>229</v>
      </c>
      <c r="B229" t="str">
        <f t="shared" si="6"/>
        <v>52-Totals-Utility3</v>
      </c>
    </row>
    <row r="230" spans="1:2">
      <c r="A230">
        <f t="shared" si="7"/>
        <v>230</v>
      </c>
      <c r="B230" t="str">
        <f t="shared" si="6"/>
        <v>53-Utility3</v>
      </c>
    </row>
    <row r="231" spans="1:2">
      <c r="A231">
        <f t="shared" si="7"/>
        <v>231</v>
      </c>
      <c r="B231" t="str">
        <f t="shared" si="6"/>
        <v>54-Utility3</v>
      </c>
    </row>
    <row r="232" spans="1:2">
      <c r="A232">
        <f t="shared" si="7"/>
        <v>232</v>
      </c>
      <c r="B232" t="str">
        <f t="shared" si="6"/>
        <v>41-Utility4</v>
      </c>
    </row>
    <row r="233" spans="1:2">
      <c r="A233">
        <f t="shared" si="7"/>
        <v>233</v>
      </c>
      <c r="B233" t="str">
        <f t="shared" si="6"/>
        <v>41a-Utility4</v>
      </c>
    </row>
    <row r="234" spans="1:2">
      <c r="A234">
        <f t="shared" si="7"/>
        <v>234</v>
      </c>
      <c r="B234" t="str">
        <f t="shared" si="6"/>
        <v>41a.1-Utility4</v>
      </c>
    </row>
    <row r="235" spans="1:2">
      <c r="A235">
        <f t="shared" si="7"/>
        <v>235</v>
      </c>
      <c r="B235" t="str">
        <f t="shared" si="6"/>
        <v>42-Utility4</v>
      </c>
    </row>
    <row r="236" spans="1:2">
      <c r="A236">
        <f t="shared" si="7"/>
        <v>236</v>
      </c>
      <c r="B236" t="str">
        <f t="shared" si="6"/>
        <v>43-Utility4</v>
      </c>
    </row>
    <row r="237" spans="1:2">
      <c r="A237">
        <f t="shared" si="7"/>
        <v>237</v>
      </c>
      <c r="B237" t="str">
        <f t="shared" si="6"/>
        <v>44-Utility4</v>
      </c>
    </row>
    <row r="238" spans="1:2">
      <c r="A238">
        <f t="shared" si="7"/>
        <v>238</v>
      </c>
      <c r="B238" t="str">
        <f t="shared" si="6"/>
        <v>45-Utility4</v>
      </c>
    </row>
    <row r="239" spans="1:2">
      <c r="A239">
        <f t="shared" si="7"/>
        <v>239</v>
      </c>
      <c r="B239" t="str">
        <f t="shared" si="6"/>
        <v>46-Utility4</v>
      </c>
    </row>
    <row r="240" spans="1:2">
      <c r="A240">
        <f t="shared" si="7"/>
        <v>240</v>
      </c>
      <c r="B240" t="str">
        <f t="shared" si="6"/>
        <v>47-Utility4</v>
      </c>
    </row>
    <row r="241" spans="1:2">
      <c r="A241">
        <f t="shared" si="7"/>
        <v>241</v>
      </c>
      <c r="B241" t="str">
        <f t="shared" si="6"/>
        <v>48-Utility4</v>
      </c>
    </row>
    <row r="242" spans="1:2">
      <c r="A242">
        <f t="shared" si="7"/>
        <v>242</v>
      </c>
      <c r="B242" t="str">
        <f t="shared" si="6"/>
        <v>48a-Utility4</v>
      </c>
    </row>
    <row r="243" spans="1:2">
      <c r="A243">
        <f t="shared" si="7"/>
        <v>243</v>
      </c>
      <c r="B243" t="str">
        <f t="shared" si="6"/>
        <v>49-Utility4</v>
      </c>
    </row>
    <row r="244" spans="1:2">
      <c r="A244">
        <f t="shared" si="7"/>
        <v>244</v>
      </c>
      <c r="B244" t="str">
        <f t="shared" si="6"/>
        <v>49a-Utility4</v>
      </c>
    </row>
    <row r="245" spans="1:2">
      <c r="A245">
        <f t="shared" si="7"/>
        <v>245</v>
      </c>
      <c r="B245" t="str">
        <f t="shared" si="6"/>
        <v>49a.1-Utility4</v>
      </c>
    </row>
    <row r="246" spans="1:2">
      <c r="A246">
        <f t="shared" si="7"/>
        <v>246</v>
      </c>
      <c r="B246" t="str">
        <f t="shared" si="6"/>
        <v>50-Utility4</v>
      </c>
    </row>
    <row r="247" spans="1:2">
      <c r="A247">
        <f t="shared" si="7"/>
        <v>247</v>
      </c>
      <c r="B247" t="str">
        <f t="shared" si="6"/>
        <v>50.1-Utility4</v>
      </c>
    </row>
    <row r="248" spans="1:2">
      <c r="A248">
        <f t="shared" si="7"/>
        <v>248</v>
      </c>
      <c r="B248" t="str">
        <f t="shared" si="6"/>
        <v>51-Utility4</v>
      </c>
    </row>
    <row r="249" spans="1:2">
      <c r="A249">
        <f t="shared" si="7"/>
        <v>249</v>
      </c>
      <c r="B249" t="str">
        <f t="shared" si="6"/>
        <v>51a-Utility4</v>
      </c>
    </row>
    <row r="250" spans="1:2">
      <c r="A250">
        <f t="shared" si="7"/>
        <v>250</v>
      </c>
      <c r="B250" t="str">
        <f t="shared" si="6"/>
        <v>52-Utility4</v>
      </c>
    </row>
    <row r="251" spans="1:2">
      <c r="A251">
        <f t="shared" si="7"/>
        <v>251</v>
      </c>
      <c r="B251" t="str">
        <f t="shared" si="6"/>
        <v>52.1-Utility4</v>
      </c>
    </row>
    <row r="252" spans="1:2">
      <c r="A252">
        <f t="shared" si="7"/>
        <v>252</v>
      </c>
      <c r="B252" t="str">
        <f t="shared" si="6"/>
        <v>52.2-Utility4</v>
      </c>
    </row>
    <row r="253" spans="1:2">
      <c r="A253">
        <f t="shared" si="7"/>
        <v>253</v>
      </c>
      <c r="B253" t="str">
        <f t="shared" si="6"/>
        <v>52.3-Utility4</v>
      </c>
    </row>
    <row r="254" spans="1:2">
      <c r="A254">
        <f t="shared" si="7"/>
        <v>254</v>
      </c>
      <c r="B254" t="str">
        <f t="shared" si="6"/>
        <v>52-Totals-Utility4</v>
      </c>
    </row>
    <row r="255" spans="1:2">
      <c r="A255">
        <f t="shared" si="7"/>
        <v>255</v>
      </c>
      <c r="B255" t="str">
        <f t="shared" si="6"/>
        <v>53-Utility4</v>
      </c>
    </row>
    <row r="256" spans="1:2">
      <c r="A256">
        <f t="shared" si="7"/>
        <v>256</v>
      </c>
      <c r="B256" t="str">
        <f t="shared" si="6"/>
        <v>54-Utility4</v>
      </c>
    </row>
    <row r="257" spans="1:2">
      <c r="A257">
        <f t="shared" si="7"/>
        <v>257</v>
      </c>
      <c r="B257" t="str">
        <f t="shared" si="6"/>
        <v>41-Utility5</v>
      </c>
    </row>
    <row r="258" spans="1:2">
      <c r="A258">
        <f t="shared" si="7"/>
        <v>258</v>
      </c>
      <c r="B258" t="str">
        <f t="shared" ref="B258:B306" si="8">INDEX(SheetNames,A258)</f>
        <v>41a-Utility5</v>
      </c>
    </row>
    <row r="259" spans="1:2">
      <c r="A259">
        <f t="shared" ref="A259:A306" si="9">A258+1</f>
        <v>259</v>
      </c>
      <c r="B259" t="str">
        <f t="shared" si="8"/>
        <v>41a.1-Utility5</v>
      </c>
    </row>
    <row r="260" spans="1:2">
      <c r="A260">
        <f t="shared" si="9"/>
        <v>260</v>
      </c>
      <c r="B260" t="str">
        <f t="shared" si="8"/>
        <v>42-Utility5</v>
      </c>
    </row>
    <row r="261" spans="1:2">
      <c r="A261">
        <f t="shared" si="9"/>
        <v>261</v>
      </c>
      <c r="B261" t="str">
        <f t="shared" si="8"/>
        <v>43-Utility5</v>
      </c>
    </row>
    <row r="262" spans="1:2">
      <c r="A262">
        <f t="shared" si="9"/>
        <v>262</v>
      </c>
      <c r="B262" t="str">
        <f t="shared" si="8"/>
        <v>44-Utility5</v>
      </c>
    </row>
    <row r="263" spans="1:2">
      <c r="A263">
        <f t="shared" si="9"/>
        <v>263</v>
      </c>
      <c r="B263" t="str">
        <f t="shared" si="8"/>
        <v>45-Utility5</v>
      </c>
    </row>
    <row r="264" spans="1:2">
      <c r="A264">
        <f t="shared" si="9"/>
        <v>264</v>
      </c>
      <c r="B264" t="str">
        <f t="shared" si="8"/>
        <v>46-Utility5</v>
      </c>
    </row>
    <row r="265" spans="1:2">
      <c r="A265">
        <f t="shared" si="9"/>
        <v>265</v>
      </c>
      <c r="B265" t="str">
        <f t="shared" si="8"/>
        <v>47-Utility5</v>
      </c>
    </row>
    <row r="266" spans="1:2">
      <c r="A266">
        <f t="shared" si="9"/>
        <v>266</v>
      </c>
      <c r="B266" t="str">
        <f t="shared" si="8"/>
        <v>48-Utility5</v>
      </c>
    </row>
    <row r="267" spans="1:2">
      <c r="A267">
        <f t="shared" si="9"/>
        <v>267</v>
      </c>
      <c r="B267" t="str">
        <f t="shared" si="8"/>
        <v>48a-Utility5</v>
      </c>
    </row>
    <row r="268" spans="1:2">
      <c r="A268">
        <f t="shared" si="9"/>
        <v>268</v>
      </c>
      <c r="B268" t="str">
        <f t="shared" si="8"/>
        <v>49-Utility5</v>
      </c>
    </row>
    <row r="269" spans="1:2">
      <c r="A269">
        <f t="shared" si="9"/>
        <v>269</v>
      </c>
      <c r="B269" t="str">
        <f t="shared" si="8"/>
        <v>49a-Utility5</v>
      </c>
    </row>
    <row r="270" spans="1:2">
      <c r="A270">
        <f t="shared" si="9"/>
        <v>270</v>
      </c>
      <c r="B270" t="str">
        <f t="shared" si="8"/>
        <v>49a.1-Utility5</v>
      </c>
    </row>
    <row r="271" spans="1:2">
      <c r="A271">
        <f t="shared" si="9"/>
        <v>271</v>
      </c>
      <c r="B271" t="str">
        <f t="shared" si="8"/>
        <v>50-Utility5</v>
      </c>
    </row>
    <row r="272" spans="1:2">
      <c r="A272">
        <f t="shared" si="9"/>
        <v>272</v>
      </c>
      <c r="B272" t="str">
        <f t="shared" si="8"/>
        <v>50.1-Utility5</v>
      </c>
    </row>
    <row r="273" spans="1:2">
      <c r="A273">
        <f t="shared" si="9"/>
        <v>273</v>
      </c>
      <c r="B273" t="str">
        <f t="shared" si="8"/>
        <v>51-Utility5</v>
      </c>
    </row>
    <row r="274" spans="1:2">
      <c r="A274">
        <f t="shared" si="9"/>
        <v>274</v>
      </c>
      <c r="B274" t="str">
        <f t="shared" si="8"/>
        <v>51a-Utility5</v>
      </c>
    </row>
    <row r="275" spans="1:2">
      <c r="A275">
        <f t="shared" si="9"/>
        <v>275</v>
      </c>
      <c r="B275" t="str">
        <f t="shared" si="8"/>
        <v>52-Utility5</v>
      </c>
    </row>
    <row r="276" spans="1:2">
      <c r="A276">
        <f t="shared" si="9"/>
        <v>276</v>
      </c>
      <c r="B276" t="str">
        <f t="shared" si="8"/>
        <v>52.1-Utility5</v>
      </c>
    </row>
    <row r="277" spans="1:2">
      <c r="A277">
        <f t="shared" si="9"/>
        <v>277</v>
      </c>
      <c r="B277" t="str">
        <f t="shared" si="8"/>
        <v>52.2-Utility5</v>
      </c>
    </row>
    <row r="278" spans="1:2">
      <c r="A278">
        <f t="shared" si="9"/>
        <v>278</v>
      </c>
      <c r="B278" t="str">
        <f t="shared" si="8"/>
        <v>52.3-Utility5</v>
      </c>
    </row>
    <row r="279" spans="1:2">
      <c r="A279">
        <f t="shared" si="9"/>
        <v>279</v>
      </c>
      <c r="B279" t="str">
        <f t="shared" si="8"/>
        <v>52-Totals-Utility5</v>
      </c>
    </row>
    <row r="280" spans="1:2">
      <c r="A280">
        <f t="shared" si="9"/>
        <v>280</v>
      </c>
      <c r="B280" t="str">
        <f t="shared" si="8"/>
        <v>53-Utility5</v>
      </c>
    </row>
    <row r="281" spans="1:2">
      <c r="A281">
        <f t="shared" si="9"/>
        <v>281</v>
      </c>
      <c r="B281" t="str">
        <f t="shared" si="8"/>
        <v>54-Utility5</v>
      </c>
    </row>
    <row r="282" spans="1:2">
      <c r="A282">
        <f t="shared" si="9"/>
        <v>282</v>
      </c>
      <c r="B282" t="str">
        <f t="shared" si="8"/>
        <v>41-Utility6</v>
      </c>
    </row>
    <row r="283" spans="1:2">
      <c r="A283">
        <f t="shared" si="9"/>
        <v>283</v>
      </c>
      <c r="B283" t="str">
        <f t="shared" si="8"/>
        <v>41a-Utility6</v>
      </c>
    </row>
    <row r="284" spans="1:2">
      <c r="A284">
        <f t="shared" si="9"/>
        <v>284</v>
      </c>
      <c r="B284" t="str">
        <f t="shared" si="8"/>
        <v>41a.1-Utility6</v>
      </c>
    </row>
    <row r="285" spans="1:2">
      <c r="A285">
        <f t="shared" si="9"/>
        <v>285</v>
      </c>
      <c r="B285" t="str">
        <f t="shared" si="8"/>
        <v>42-Utility6</v>
      </c>
    </row>
    <row r="286" spans="1:2">
      <c r="A286">
        <f t="shared" si="9"/>
        <v>286</v>
      </c>
      <c r="B286" t="str">
        <f t="shared" si="8"/>
        <v>43-Utility6</v>
      </c>
    </row>
    <row r="287" spans="1:2">
      <c r="A287">
        <f t="shared" si="9"/>
        <v>287</v>
      </c>
      <c r="B287" t="str">
        <f t="shared" si="8"/>
        <v>44-Utility6</v>
      </c>
    </row>
    <row r="288" spans="1:2">
      <c r="A288">
        <f t="shared" si="9"/>
        <v>288</v>
      </c>
      <c r="B288" t="str">
        <f t="shared" si="8"/>
        <v>45-Utility6</v>
      </c>
    </row>
    <row r="289" spans="1:2">
      <c r="A289">
        <f t="shared" si="9"/>
        <v>289</v>
      </c>
      <c r="B289" t="str">
        <f t="shared" si="8"/>
        <v>46-Utility6</v>
      </c>
    </row>
    <row r="290" spans="1:2">
      <c r="A290">
        <f t="shared" si="9"/>
        <v>290</v>
      </c>
      <c r="B290" t="str">
        <f t="shared" si="8"/>
        <v>47-Utility6</v>
      </c>
    </row>
    <row r="291" spans="1:2">
      <c r="A291">
        <f t="shared" si="9"/>
        <v>291</v>
      </c>
      <c r="B291" t="str">
        <f t="shared" si="8"/>
        <v>48-Utility6</v>
      </c>
    </row>
    <row r="292" spans="1:2">
      <c r="A292">
        <f t="shared" si="9"/>
        <v>292</v>
      </c>
      <c r="B292" t="str">
        <f t="shared" si="8"/>
        <v>48a-Utility6</v>
      </c>
    </row>
    <row r="293" spans="1:2">
      <c r="A293">
        <f t="shared" si="9"/>
        <v>293</v>
      </c>
      <c r="B293" t="str">
        <f t="shared" si="8"/>
        <v>49-Utility6</v>
      </c>
    </row>
    <row r="294" spans="1:2">
      <c r="A294">
        <f t="shared" si="9"/>
        <v>294</v>
      </c>
      <c r="B294" t="str">
        <f t="shared" si="8"/>
        <v>49a-Utility6</v>
      </c>
    </row>
    <row r="295" spans="1:2">
      <c r="A295">
        <f t="shared" si="9"/>
        <v>295</v>
      </c>
      <c r="B295" t="str">
        <f t="shared" si="8"/>
        <v>49a.1-Utility6</v>
      </c>
    </row>
    <row r="296" spans="1:2">
      <c r="A296">
        <f t="shared" si="9"/>
        <v>296</v>
      </c>
      <c r="B296" t="str">
        <f t="shared" si="8"/>
        <v>50-Utility6</v>
      </c>
    </row>
    <row r="297" spans="1:2">
      <c r="A297">
        <f t="shared" si="9"/>
        <v>297</v>
      </c>
      <c r="B297" t="str">
        <f t="shared" si="8"/>
        <v>50.1-Utility6</v>
      </c>
    </row>
    <row r="298" spans="1:2">
      <c r="A298">
        <f t="shared" si="9"/>
        <v>298</v>
      </c>
      <c r="B298" t="str">
        <f t="shared" si="8"/>
        <v>51-Utility6</v>
      </c>
    </row>
    <row r="299" spans="1:2">
      <c r="A299">
        <f t="shared" si="9"/>
        <v>299</v>
      </c>
      <c r="B299" t="str">
        <f t="shared" si="8"/>
        <v>51a-Utility6</v>
      </c>
    </row>
    <row r="300" spans="1:2">
      <c r="A300">
        <f t="shared" si="9"/>
        <v>300</v>
      </c>
      <c r="B300" t="str">
        <f t="shared" si="8"/>
        <v>52-Utility6</v>
      </c>
    </row>
    <row r="301" spans="1:2">
      <c r="A301">
        <f t="shared" si="9"/>
        <v>301</v>
      </c>
      <c r="B301" t="str">
        <f t="shared" si="8"/>
        <v>52.1-Utility6</v>
      </c>
    </row>
    <row r="302" spans="1:2">
      <c r="A302">
        <f t="shared" si="9"/>
        <v>302</v>
      </c>
      <c r="B302" t="str">
        <f t="shared" si="8"/>
        <v>52.2-Utility6</v>
      </c>
    </row>
    <row r="303" spans="1:2">
      <c r="A303">
        <f t="shared" si="9"/>
        <v>303</v>
      </c>
      <c r="B303" t="str">
        <f t="shared" si="8"/>
        <v>52.3-Utility6</v>
      </c>
    </row>
    <row r="304" spans="1:2">
      <c r="A304">
        <f t="shared" si="9"/>
        <v>304</v>
      </c>
      <c r="B304" t="str">
        <f t="shared" si="8"/>
        <v>52-Totals-Utility6</v>
      </c>
    </row>
    <row r="305" spans="1:2">
      <c r="A305">
        <f t="shared" si="9"/>
        <v>305</v>
      </c>
      <c r="B305" t="str">
        <f t="shared" si="8"/>
        <v>53-Utility6</v>
      </c>
    </row>
    <row r="306" spans="1:2">
      <c r="A306">
        <f t="shared" si="9"/>
        <v>306</v>
      </c>
      <c r="B306" t="str">
        <f t="shared" si="8"/>
        <v>54-Utility6</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1"/>
  <dimension ref="B2:I49"/>
  <sheetViews>
    <sheetView zoomScaleNormal="100" workbookViewId="0">
      <selection activeCell="B2" sqref="B2:F2"/>
    </sheetView>
  </sheetViews>
  <sheetFormatPr defaultRowHeight="13.2"/>
  <cols>
    <col min="1" max="4" width="4.6640625" customWidth="1"/>
    <col min="5" max="5" width="63.6640625" customWidth="1"/>
    <col min="6" max="6" width="16.5546875" customWidth="1"/>
  </cols>
  <sheetData>
    <row r="2" spans="2:9" ht="22.8">
      <c r="B2" s="1213" t="str">
        <f>'9a-Cash Reconciliation'!B2:F2</f>
        <v xml:space="preserve">CASH  RECONCILIATION  DECEMBER 31, 2024 (cont'd)  </v>
      </c>
      <c r="C2" s="1213"/>
      <c r="D2" s="1213"/>
      <c r="E2" s="1213"/>
      <c r="F2" s="1213"/>
      <c r="G2" s="39"/>
      <c r="H2" s="39"/>
      <c r="I2" s="39"/>
    </row>
    <row r="4" spans="2:9" ht="16.2" thickBot="1">
      <c r="B4" s="1132" t="s">
        <v>631</v>
      </c>
      <c r="C4" s="1132"/>
      <c r="D4" s="1132"/>
      <c r="E4" s="1132"/>
      <c r="F4" s="1132"/>
    </row>
    <row r="5" spans="2:9" ht="21" customHeight="1" thickTop="1">
      <c r="B5" s="603" t="s">
        <v>3256</v>
      </c>
      <c r="C5" s="22"/>
      <c r="D5" s="22"/>
      <c r="E5" s="22"/>
      <c r="F5" s="655">
        <f>+'9a-Cash Reconciliation'!F43</f>
        <v>7308015.1100000003</v>
      </c>
    </row>
    <row r="6" spans="2:9" ht="21" customHeight="1">
      <c r="B6" s="417"/>
      <c r="C6" s="417"/>
      <c r="D6" s="417"/>
      <c r="E6" s="417"/>
      <c r="F6" s="419"/>
    </row>
    <row r="7" spans="2:9" ht="21" customHeight="1">
      <c r="B7" s="417"/>
      <c r="C7" s="417"/>
      <c r="D7" s="417"/>
      <c r="E7" s="417"/>
      <c r="F7" s="419"/>
    </row>
    <row r="8" spans="2:9" ht="21" customHeight="1">
      <c r="B8" s="417"/>
      <c r="C8" s="417"/>
      <c r="D8" s="417"/>
      <c r="E8" s="417"/>
      <c r="F8" s="419"/>
    </row>
    <row r="9" spans="2:9" ht="21" customHeight="1">
      <c r="B9" s="417"/>
      <c r="C9" s="417"/>
      <c r="D9" s="417"/>
      <c r="E9" s="417"/>
      <c r="F9" s="419"/>
    </row>
    <row r="10" spans="2:9" ht="21" customHeight="1">
      <c r="B10" s="417"/>
      <c r="C10" s="417"/>
      <c r="D10" s="417"/>
      <c r="E10" s="417"/>
      <c r="F10" s="419"/>
      <c r="I10" s="294"/>
    </row>
    <row r="11" spans="2:9" ht="21" customHeight="1">
      <c r="B11" s="417"/>
      <c r="C11" s="417"/>
      <c r="D11" s="417"/>
      <c r="E11" s="417"/>
      <c r="F11" s="419"/>
    </row>
    <row r="12" spans="2:9" ht="21" customHeight="1">
      <c r="B12" s="417"/>
      <c r="C12" s="417"/>
      <c r="D12" s="417"/>
      <c r="E12" s="417"/>
      <c r="F12" s="419"/>
    </row>
    <row r="13" spans="2:9" ht="21" customHeight="1">
      <c r="B13" s="417"/>
      <c r="C13" s="417"/>
      <c r="D13" s="417"/>
      <c r="E13" s="417"/>
      <c r="F13" s="419"/>
    </row>
    <row r="14" spans="2:9" ht="21" customHeight="1">
      <c r="B14" s="417"/>
      <c r="C14" s="417"/>
      <c r="D14" s="417"/>
      <c r="E14" s="417"/>
      <c r="F14" s="419"/>
    </row>
    <row r="15" spans="2:9" ht="21" customHeight="1">
      <c r="B15" s="417"/>
      <c r="C15" s="417"/>
      <c r="D15" s="417"/>
      <c r="E15" s="417"/>
      <c r="F15" s="419"/>
    </row>
    <row r="16" spans="2:9" ht="21" customHeight="1">
      <c r="B16" s="417"/>
      <c r="C16" s="417"/>
      <c r="D16" s="417"/>
      <c r="E16" s="417"/>
      <c r="F16" s="419"/>
    </row>
    <row r="17" spans="2:6" ht="21" customHeight="1">
      <c r="B17" s="417"/>
      <c r="C17" s="417"/>
      <c r="D17" s="417"/>
      <c r="E17" s="417"/>
      <c r="F17" s="419"/>
    </row>
    <row r="18" spans="2:6" ht="21" customHeight="1">
      <c r="B18" s="417"/>
      <c r="C18" s="417"/>
      <c r="D18" s="417"/>
      <c r="E18" s="417"/>
      <c r="F18" s="419"/>
    </row>
    <row r="19" spans="2:6" ht="21" customHeight="1">
      <c r="B19" s="417"/>
      <c r="C19" s="417"/>
      <c r="D19" s="417"/>
      <c r="E19" s="417"/>
      <c r="F19" s="419"/>
    </row>
    <row r="20" spans="2:6" ht="21" customHeight="1">
      <c r="B20" s="417"/>
      <c r="C20" s="417"/>
      <c r="D20" s="417"/>
      <c r="E20" s="417"/>
      <c r="F20" s="419"/>
    </row>
    <row r="21" spans="2:6" ht="21" customHeight="1">
      <c r="B21" s="417"/>
      <c r="C21" s="417"/>
      <c r="D21" s="417"/>
      <c r="E21" s="417"/>
      <c r="F21" s="419"/>
    </row>
    <row r="22" spans="2:6" ht="21" customHeight="1">
      <c r="B22" s="417"/>
      <c r="C22" s="417"/>
      <c r="D22" s="417"/>
      <c r="E22" s="417"/>
      <c r="F22" s="419"/>
    </row>
    <row r="23" spans="2:6" ht="21" customHeight="1">
      <c r="B23" s="417"/>
      <c r="C23" s="417"/>
      <c r="D23" s="417"/>
      <c r="E23" s="417"/>
      <c r="F23" s="419"/>
    </row>
    <row r="24" spans="2:6" ht="21" customHeight="1">
      <c r="B24" s="417"/>
      <c r="C24" s="417"/>
      <c r="D24" s="417"/>
      <c r="E24" s="417"/>
      <c r="F24" s="419"/>
    </row>
    <row r="25" spans="2:6" ht="21" customHeight="1">
      <c r="B25" s="417"/>
      <c r="C25" s="417"/>
      <c r="D25" s="417"/>
      <c r="E25" s="417"/>
      <c r="F25" s="419"/>
    </row>
    <row r="26" spans="2:6" ht="21" customHeight="1">
      <c r="B26" s="417"/>
      <c r="C26" s="417"/>
      <c r="D26" s="417"/>
      <c r="E26" s="417"/>
      <c r="F26" s="419"/>
    </row>
    <row r="27" spans="2:6" ht="21" customHeight="1">
      <c r="B27" s="417"/>
      <c r="C27" s="417"/>
      <c r="D27" s="417"/>
      <c r="E27" s="417"/>
      <c r="F27" s="419"/>
    </row>
    <row r="28" spans="2:6" ht="21" customHeight="1">
      <c r="B28" s="417"/>
      <c r="C28" s="417"/>
      <c r="D28" s="417"/>
      <c r="E28" s="417"/>
      <c r="F28" s="419"/>
    </row>
    <row r="29" spans="2:6" ht="21" customHeight="1">
      <c r="B29" s="417"/>
      <c r="C29" s="417"/>
      <c r="D29" s="417"/>
      <c r="E29" s="417"/>
      <c r="F29" s="419"/>
    </row>
    <row r="30" spans="2:6" ht="21" customHeight="1">
      <c r="B30" s="417"/>
      <c r="C30" s="417"/>
      <c r="D30" s="417"/>
      <c r="E30" s="417"/>
      <c r="F30" s="419"/>
    </row>
    <row r="31" spans="2:6" ht="21" customHeight="1">
      <c r="B31" s="417"/>
      <c r="C31" s="417"/>
      <c r="D31" s="417"/>
      <c r="E31" s="417"/>
      <c r="F31" s="419"/>
    </row>
    <row r="32" spans="2:6" ht="21" customHeight="1">
      <c r="B32" s="417"/>
      <c r="C32" s="417"/>
      <c r="D32" s="417"/>
      <c r="E32" s="417"/>
      <c r="F32" s="419"/>
    </row>
    <row r="33" spans="2:6" ht="21" customHeight="1">
      <c r="B33" s="417"/>
      <c r="C33" s="417"/>
      <c r="D33" s="417"/>
      <c r="E33" s="417"/>
      <c r="F33" s="419"/>
    </row>
    <row r="34" spans="2:6" ht="21" customHeight="1">
      <c r="B34" s="417"/>
      <c r="C34" s="417"/>
      <c r="D34" s="417"/>
      <c r="E34" s="417"/>
      <c r="F34" s="419"/>
    </row>
    <row r="35" spans="2:6" ht="21" customHeight="1">
      <c r="B35" s="417"/>
      <c r="C35" s="417"/>
      <c r="D35" s="417"/>
      <c r="E35" s="417"/>
      <c r="F35" s="419"/>
    </row>
    <row r="36" spans="2:6" ht="21" customHeight="1">
      <c r="B36" s="417"/>
      <c r="C36" s="417"/>
      <c r="D36" s="417"/>
      <c r="E36" s="417"/>
      <c r="F36" s="419"/>
    </row>
    <row r="37" spans="2:6" ht="21" customHeight="1">
      <c r="B37" s="417"/>
      <c r="C37" s="417"/>
      <c r="D37" s="417"/>
      <c r="E37" s="417"/>
      <c r="F37" s="419"/>
    </row>
    <row r="38" spans="2:6" ht="21" customHeight="1">
      <c r="B38" s="417"/>
      <c r="C38" s="417"/>
      <c r="D38" s="417"/>
      <c r="E38" s="417"/>
      <c r="F38" s="419"/>
    </row>
    <row r="39" spans="2:6" ht="21" customHeight="1">
      <c r="B39" s="417"/>
      <c r="C39" s="417"/>
      <c r="D39" s="417"/>
      <c r="E39" s="417"/>
      <c r="F39" s="419"/>
    </row>
    <row r="40" spans="2:6" ht="21" customHeight="1">
      <c r="B40" s="417"/>
      <c r="C40" s="417"/>
      <c r="D40" s="417"/>
      <c r="E40" s="417"/>
      <c r="F40" s="419"/>
    </row>
    <row r="41" spans="2:6" ht="21" customHeight="1">
      <c r="B41" s="417"/>
      <c r="C41" s="417"/>
      <c r="D41" s="417"/>
      <c r="E41" s="417"/>
      <c r="F41" s="419"/>
    </row>
    <row r="42" spans="2:6" ht="21" customHeight="1">
      <c r="B42" s="417"/>
      <c r="C42" s="417"/>
      <c r="D42" s="417"/>
      <c r="E42" s="417"/>
      <c r="F42" s="419"/>
    </row>
    <row r="43" spans="2:6" ht="21" customHeight="1" thickBot="1">
      <c r="B43" s="264" t="s">
        <v>3255</v>
      </c>
      <c r="C43" s="27"/>
      <c r="D43" s="27"/>
      <c r="E43" s="27"/>
      <c r="F43" s="202">
        <f>SUM(F5:F42)</f>
        <v>7308015.1100000003</v>
      </c>
    </row>
    <row r="44" spans="2:6" ht="13.8" thickTop="1"/>
    <row r="45" spans="2:6">
      <c r="B45" s="1174" t="s">
        <v>628</v>
      </c>
      <c r="C45" s="1174"/>
      <c r="D45" s="1174"/>
      <c r="E45" s="1174"/>
      <c r="F45" s="1174"/>
    </row>
    <row r="46" spans="2:6">
      <c r="B46" s="1174" t="s">
        <v>632</v>
      </c>
      <c r="C46" s="1174"/>
      <c r="D46" s="1174"/>
      <c r="E46" s="1174"/>
      <c r="F46" s="1174"/>
    </row>
    <row r="47" spans="2:6">
      <c r="B47" s="1"/>
      <c r="C47" s="1"/>
      <c r="D47" s="1"/>
      <c r="E47" s="1"/>
      <c r="F47" s="1"/>
    </row>
    <row r="49" spans="2:6" ht="13.8">
      <c r="B49" s="1130" t="s">
        <v>3242</v>
      </c>
      <c r="C49" s="1130"/>
      <c r="D49" s="1130"/>
      <c r="E49" s="1130"/>
      <c r="F49" s="1130"/>
    </row>
  </sheetData>
  <sheetProtection password="CAF9" sheet="1" objects="1" scenarios="1"/>
  <mergeCells count="5">
    <mergeCell ref="B49:F49"/>
    <mergeCell ref="B4:F4"/>
    <mergeCell ref="B2:F2"/>
    <mergeCell ref="B45:F45"/>
    <mergeCell ref="B46:F46"/>
  </mergeCells>
  <phoneticPr fontId="0" type="noConversion"/>
  <pageMargins left="0.25" right="0.25" top="0.5" bottom="0.5" header="0.25" footer="0.25"/>
  <pageSetup paperSize="5"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234EA-3003-4036-85AF-B85A6F6C2F96}">
  <sheetPr codeName="Sheet32"/>
  <dimension ref="B2:I49"/>
  <sheetViews>
    <sheetView zoomScaleNormal="100" workbookViewId="0">
      <selection activeCell="B1" sqref="B1"/>
    </sheetView>
  </sheetViews>
  <sheetFormatPr defaultColWidth="9.109375" defaultRowHeight="13.2"/>
  <cols>
    <col min="1" max="4" width="4.6640625" customWidth="1"/>
    <col min="5" max="5" width="63.6640625" customWidth="1"/>
    <col min="6" max="6" width="16.5546875" customWidth="1"/>
  </cols>
  <sheetData>
    <row r="2" spans="2:9" ht="22.8">
      <c r="B2" s="1213" t="str">
        <f>'9a-Cash Reconciliation'!B2:F2</f>
        <v xml:space="preserve">CASH  RECONCILIATION  DECEMBER 31, 2024 (cont'd)  </v>
      </c>
      <c r="C2" s="1213"/>
      <c r="D2" s="1213"/>
      <c r="E2" s="1213"/>
      <c r="F2" s="1213"/>
      <c r="G2" s="39"/>
      <c r="H2" s="39"/>
      <c r="I2" s="39"/>
    </row>
    <row r="4" spans="2:9" ht="16.2" thickBot="1">
      <c r="B4" s="1132" t="s">
        <v>631</v>
      </c>
      <c r="C4" s="1132"/>
      <c r="D4" s="1132"/>
      <c r="E4" s="1132"/>
      <c r="F4" s="1132"/>
    </row>
    <row r="5" spans="2:9" ht="21" customHeight="1" thickTop="1">
      <c r="B5" s="603" t="s">
        <v>3256</v>
      </c>
      <c r="C5" s="22"/>
      <c r="D5" s="22"/>
      <c r="E5" s="22"/>
      <c r="F5" s="655">
        <f>+'9a.1-Cash Reconciliation'!F43</f>
        <v>7308015.1100000003</v>
      </c>
    </row>
    <row r="6" spans="2:9" ht="21" customHeight="1">
      <c r="B6" s="417"/>
      <c r="C6" s="417"/>
      <c r="D6" s="417"/>
      <c r="E6" s="417"/>
      <c r="F6" s="419"/>
    </row>
    <row r="7" spans="2:9" ht="21" customHeight="1">
      <c r="B7" s="417"/>
      <c r="C7" s="417"/>
      <c r="D7" s="417"/>
      <c r="E7" s="417"/>
      <c r="F7" s="419"/>
    </row>
    <row r="8" spans="2:9" ht="21" customHeight="1">
      <c r="B8" s="417"/>
      <c r="C8" s="417"/>
      <c r="D8" s="417"/>
      <c r="E8" s="417"/>
      <c r="F8" s="419"/>
    </row>
    <row r="9" spans="2:9" ht="21" customHeight="1">
      <c r="B9" s="417"/>
      <c r="C9" s="417"/>
      <c r="D9" s="417"/>
      <c r="E9" s="417"/>
      <c r="F9" s="419"/>
    </row>
    <row r="10" spans="2:9" ht="21" customHeight="1">
      <c r="B10" s="417"/>
      <c r="C10" s="417"/>
      <c r="D10" s="417"/>
      <c r="E10" s="417"/>
      <c r="F10" s="419"/>
      <c r="I10" s="294"/>
    </row>
    <row r="11" spans="2:9" ht="21" customHeight="1">
      <c r="B11" s="417"/>
      <c r="C11" s="417"/>
      <c r="D11" s="417"/>
      <c r="E11" s="417"/>
      <c r="F11" s="419"/>
    </row>
    <row r="12" spans="2:9" ht="21" customHeight="1">
      <c r="B12" s="417"/>
      <c r="C12" s="417"/>
      <c r="D12" s="417"/>
      <c r="E12" s="417"/>
      <c r="F12" s="419"/>
    </row>
    <row r="13" spans="2:9" ht="21" customHeight="1">
      <c r="B13" s="417"/>
      <c r="C13" s="417"/>
      <c r="D13" s="417"/>
      <c r="E13" s="417"/>
      <c r="F13" s="419"/>
    </row>
    <row r="14" spans="2:9" ht="21" customHeight="1">
      <c r="B14" s="417"/>
      <c r="C14" s="417"/>
      <c r="D14" s="417"/>
      <c r="E14" s="417"/>
      <c r="F14" s="419"/>
    </row>
    <row r="15" spans="2:9" ht="21" customHeight="1">
      <c r="B15" s="417"/>
      <c r="C15" s="417"/>
      <c r="D15" s="417"/>
      <c r="E15" s="417"/>
      <c r="F15" s="419"/>
    </row>
    <row r="16" spans="2:9" ht="21" customHeight="1">
      <c r="B16" s="417"/>
      <c r="C16" s="417"/>
      <c r="D16" s="417"/>
      <c r="E16" s="417"/>
      <c r="F16" s="419"/>
    </row>
    <row r="17" spans="2:6" ht="21" customHeight="1">
      <c r="B17" s="417"/>
      <c r="C17" s="417"/>
      <c r="D17" s="417"/>
      <c r="E17" s="417"/>
      <c r="F17" s="419"/>
    </row>
    <row r="18" spans="2:6" ht="21" customHeight="1">
      <c r="B18" s="417"/>
      <c r="C18" s="417"/>
      <c r="D18" s="417"/>
      <c r="E18" s="417"/>
      <c r="F18" s="419"/>
    </row>
    <row r="19" spans="2:6" ht="21" customHeight="1">
      <c r="B19" s="417"/>
      <c r="C19" s="417"/>
      <c r="D19" s="417"/>
      <c r="E19" s="417"/>
      <c r="F19" s="419"/>
    </row>
    <row r="20" spans="2:6" ht="21" customHeight="1">
      <c r="B20" s="417"/>
      <c r="C20" s="417"/>
      <c r="D20" s="417"/>
      <c r="E20" s="417"/>
      <c r="F20" s="419"/>
    </row>
    <row r="21" spans="2:6" ht="21" customHeight="1">
      <c r="B21" s="417"/>
      <c r="C21" s="417"/>
      <c r="D21" s="417"/>
      <c r="E21" s="417"/>
      <c r="F21" s="419"/>
    </row>
    <row r="22" spans="2:6" ht="21" customHeight="1">
      <c r="B22" s="417"/>
      <c r="C22" s="417"/>
      <c r="D22" s="417"/>
      <c r="E22" s="417"/>
      <c r="F22" s="419"/>
    </row>
    <row r="23" spans="2:6" ht="21" customHeight="1">
      <c r="B23" s="417"/>
      <c r="C23" s="417"/>
      <c r="D23" s="417"/>
      <c r="E23" s="417"/>
      <c r="F23" s="419"/>
    </row>
    <row r="24" spans="2:6" ht="21" customHeight="1">
      <c r="B24" s="417"/>
      <c r="C24" s="417"/>
      <c r="D24" s="417"/>
      <c r="E24" s="417"/>
      <c r="F24" s="419"/>
    </row>
    <row r="25" spans="2:6" ht="21" customHeight="1">
      <c r="B25" s="417"/>
      <c r="C25" s="417"/>
      <c r="D25" s="417"/>
      <c r="E25" s="417"/>
      <c r="F25" s="419"/>
    </row>
    <row r="26" spans="2:6" ht="21" customHeight="1">
      <c r="B26" s="417"/>
      <c r="C26" s="417"/>
      <c r="D26" s="417"/>
      <c r="E26" s="417"/>
      <c r="F26" s="419"/>
    </row>
    <row r="27" spans="2:6" ht="21" customHeight="1">
      <c r="B27" s="417"/>
      <c r="C27" s="417"/>
      <c r="D27" s="417"/>
      <c r="E27" s="417"/>
      <c r="F27" s="419"/>
    </row>
    <row r="28" spans="2:6" ht="21" customHeight="1">
      <c r="B28" s="417"/>
      <c r="C28" s="417"/>
      <c r="D28" s="417"/>
      <c r="E28" s="417"/>
      <c r="F28" s="419"/>
    </row>
    <row r="29" spans="2:6" ht="21" customHeight="1">
      <c r="B29" s="417"/>
      <c r="C29" s="417"/>
      <c r="D29" s="417"/>
      <c r="E29" s="417"/>
      <c r="F29" s="419"/>
    </row>
    <row r="30" spans="2:6" ht="21" customHeight="1">
      <c r="B30" s="417"/>
      <c r="C30" s="417"/>
      <c r="D30" s="417"/>
      <c r="E30" s="417"/>
      <c r="F30" s="419"/>
    </row>
    <row r="31" spans="2:6" ht="21" customHeight="1">
      <c r="B31" s="417"/>
      <c r="C31" s="417"/>
      <c r="D31" s="417"/>
      <c r="E31" s="417"/>
      <c r="F31" s="419"/>
    </row>
    <row r="32" spans="2:6" ht="21" customHeight="1">
      <c r="B32" s="417"/>
      <c r="C32" s="417"/>
      <c r="D32" s="417"/>
      <c r="E32" s="417"/>
      <c r="F32" s="419"/>
    </row>
    <row r="33" spans="2:6" ht="21" customHeight="1">
      <c r="B33" s="417"/>
      <c r="C33" s="417"/>
      <c r="D33" s="417"/>
      <c r="E33" s="417"/>
      <c r="F33" s="419"/>
    </row>
    <row r="34" spans="2:6" ht="21" customHeight="1">
      <c r="B34" s="417"/>
      <c r="C34" s="417"/>
      <c r="D34" s="417"/>
      <c r="E34" s="417"/>
      <c r="F34" s="419"/>
    </row>
    <row r="35" spans="2:6" ht="21" customHeight="1">
      <c r="B35" s="417"/>
      <c r="C35" s="417"/>
      <c r="D35" s="417"/>
      <c r="E35" s="417"/>
      <c r="F35" s="419"/>
    </row>
    <row r="36" spans="2:6" ht="21" customHeight="1">
      <c r="B36" s="417"/>
      <c r="C36" s="417"/>
      <c r="D36" s="417"/>
      <c r="E36" s="417"/>
      <c r="F36" s="419"/>
    </row>
    <row r="37" spans="2:6" ht="21" customHeight="1">
      <c r="B37" s="417"/>
      <c r="C37" s="417"/>
      <c r="D37" s="417"/>
      <c r="E37" s="417"/>
      <c r="F37" s="419"/>
    </row>
    <row r="38" spans="2:6" ht="21" customHeight="1">
      <c r="B38" s="417"/>
      <c r="C38" s="417"/>
      <c r="D38" s="417"/>
      <c r="E38" s="417"/>
      <c r="F38" s="419"/>
    </row>
    <row r="39" spans="2:6" ht="21" customHeight="1">
      <c r="B39" s="417"/>
      <c r="C39" s="417"/>
      <c r="D39" s="417"/>
      <c r="E39" s="417"/>
      <c r="F39" s="419"/>
    </row>
    <row r="40" spans="2:6" ht="21" customHeight="1">
      <c r="B40" s="417"/>
      <c r="C40" s="417"/>
      <c r="D40" s="417"/>
      <c r="E40" s="417"/>
      <c r="F40" s="419"/>
    </row>
    <row r="41" spans="2:6" ht="21" customHeight="1">
      <c r="B41" s="417"/>
      <c r="C41" s="417"/>
      <c r="D41" s="417"/>
      <c r="E41" s="417"/>
      <c r="F41" s="419"/>
    </row>
    <row r="42" spans="2:6" ht="21" customHeight="1">
      <c r="B42" s="417"/>
      <c r="C42" s="417"/>
      <c r="D42" s="417"/>
      <c r="E42" s="417"/>
      <c r="F42" s="419"/>
    </row>
    <row r="43" spans="2:6" ht="21" customHeight="1" thickBot="1">
      <c r="B43" s="264" t="s">
        <v>3255</v>
      </c>
      <c r="C43" s="27"/>
      <c r="D43" s="27"/>
      <c r="E43" s="27"/>
      <c r="F43" s="202">
        <f>SUM(F5:F42)</f>
        <v>7308015.1100000003</v>
      </c>
    </row>
    <row r="44" spans="2:6" ht="13.8" thickTop="1"/>
    <row r="45" spans="2:6">
      <c r="B45" s="1174" t="s">
        <v>628</v>
      </c>
      <c r="C45" s="1174"/>
      <c r="D45" s="1174"/>
      <c r="E45" s="1174"/>
      <c r="F45" s="1174"/>
    </row>
    <row r="46" spans="2:6">
      <c r="B46" s="1174" t="s">
        <v>632</v>
      </c>
      <c r="C46" s="1174"/>
      <c r="D46" s="1174"/>
      <c r="E46" s="1174"/>
      <c r="F46" s="1174"/>
    </row>
    <row r="47" spans="2:6">
      <c r="B47" s="1"/>
      <c r="C47" s="1"/>
      <c r="D47" s="1"/>
      <c r="E47" s="1"/>
      <c r="F47" s="1"/>
    </row>
    <row r="49" spans="2:6" ht="13.8">
      <c r="B49" s="1130" t="s">
        <v>3243</v>
      </c>
      <c r="C49" s="1130"/>
      <c r="D49" s="1130"/>
      <c r="E49" s="1130"/>
      <c r="F49" s="1130"/>
    </row>
  </sheetData>
  <sheetProtection algorithmName="SHA-512" hashValue="iVKw35QEybpB6Wkoq6oS4iOz4LIgKbnYriAps3ptgzaiLjFgxIa1zPTlXRUDx6YZI+rmYVrOdDcf61nFIA7HhQ==" saltValue="ZmLKt/bEQd7a4rnx7gQnKA=="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CEDE2-A71E-4EA9-BAFC-5683D2998735}">
  <sheetPr codeName="Sheet33"/>
  <dimension ref="B2:I49"/>
  <sheetViews>
    <sheetView zoomScaleNormal="100" workbookViewId="0">
      <selection activeCell="B1" sqref="B1"/>
    </sheetView>
  </sheetViews>
  <sheetFormatPr defaultColWidth="9.109375" defaultRowHeight="13.2"/>
  <cols>
    <col min="1" max="4" width="4.6640625" customWidth="1"/>
    <col min="5" max="5" width="63.6640625" customWidth="1"/>
    <col min="6" max="6" width="16.5546875" customWidth="1"/>
  </cols>
  <sheetData>
    <row r="2" spans="2:9" ht="22.8">
      <c r="B2" s="1213" t="str">
        <f>'9a-Cash Reconciliation'!B2:F2</f>
        <v xml:space="preserve">CASH  RECONCILIATION  DECEMBER 31, 2024 (cont'd)  </v>
      </c>
      <c r="C2" s="1213"/>
      <c r="D2" s="1213"/>
      <c r="E2" s="1213"/>
      <c r="F2" s="1213"/>
      <c r="G2" s="39"/>
      <c r="H2" s="39"/>
      <c r="I2" s="39"/>
    </row>
    <row r="4" spans="2:9" ht="16.2" thickBot="1">
      <c r="B4" s="1132" t="s">
        <v>631</v>
      </c>
      <c r="C4" s="1132"/>
      <c r="D4" s="1132"/>
      <c r="E4" s="1132"/>
      <c r="F4" s="1132"/>
    </row>
    <row r="5" spans="2:9" ht="21" customHeight="1" thickTop="1">
      <c r="B5" s="603" t="s">
        <v>3256</v>
      </c>
      <c r="C5" s="22"/>
      <c r="D5" s="22"/>
      <c r="E5" s="22"/>
      <c r="F5" s="655">
        <f>+'9a.2-Cash Reconciliation'!F43</f>
        <v>7308015.1100000003</v>
      </c>
    </row>
    <row r="6" spans="2:9" ht="21" customHeight="1">
      <c r="B6" s="417"/>
      <c r="C6" s="417"/>
      <c r="D6" s="417"/>
      <c r="E6" s="417"/>
      <c r="F6" s="419"/>
    </row>
    <row r="7" spans="2:9" ht="21" customHeight="1">
      <c r="B7" s="417"/>
      <c r="C7" s="417"/>
      <c r="D7" s="417"/>
      <c r="E7" s="417"/>
      <c r="F7" s="419"/>
    </row>
    <row r="8" spans="2:9" ht="21" customHeight="1">
      <c r="B8" s="417"/>
      <c r="C8" s="417"/>
      <c r="D8" s="417"/>
      <c r="E8" s="417"/>
      <c r="F8" s="419"/>
    </row>
    <row r="9" spans="2:9" ht="21" customHeight="1">
      <c r="B9" s="417"/>
      <c r="C9" s="417"/>
      <c r="D9" s="417"/>
      <c r="E9" s="417"/>
      <c r="F9" s="419"/>
    </row>
    <row r="10" spans="2:9" ht="21" customHeight="1">
      <c r="B10" s="417"/>
      <c r="C10" s="417"/>
      <c r="D10" s="417"/>
      <c r="E10" s="417"/>
      <c r="F10" s="419"/>
      <c r="I10" s="294"/>
    </row>
    <row r="11" spans="2:9" ht="21" customHeight="1">
      <c r="B11" s="417"/>
      <c r="C11" s="417"/>
      <c r="D11" s="417"/>
      <c r="E11" s="417"/>
      <c r="F11" s="419"/>
    </row>
    <row r="12" spans="2:9" ht="21" customHeight="1">
      <c r="B12" s="417"/>
      <c r="C12" s="417"/>
      <c r="D12" s="417"/>
      <c r="E12" s="417"/>
      <c r="F12" s="419"/>
    </row>
    <row r="13" spans="2:9" ht="21" customHeight="1">
      <c r="B13" s="417"/>
      <c r="C13" s="417"/>
      <c r="D13" s="417"/>
      <c r="E13" s="417"/>
      <c r="F13" s="419"/>
    </row>
    <row r="14" spans="2:9" ht="21" customHeight="1">
      <c r="B14" s="417"/>
      <c r="C14" s="417"/>
      <c r="D14" s="417"/>
      <c r="E14" s="417"/>
      <c r="F14" s="419"/>
    </row>
    <row r="15" spans="2:9" ht="21" customHeight="1">
      <c r="B15" s="417"/>
      <c r="C15" s="417"/>
      <c r="D15" s="417"/>
      <c r="E15" s="417"/>
      <c r="F15" s="419"/>
    </row>
    <row r="16" spans="2:9" ht="21" customHeight="1">
      <c r="B16" s="417"/>
      <c r="C16" s="417"/>
      <c r="D16" s="417"/>
      <c r="E16" s="417"/>
      <c r="F16" s="419"/>
    </row>
    <row r="17" spans="2:6" ht="21" customHeight="1">
      <c r="B17" s="417"/>
      <c r="C17" s="417"/>
      <c r="D17" s="417"/>
      <c r="E17" s="417"/>
      <c r="F17" s="419"/>
    </row>
    <row r="18" spans="2:6" ht="21" customHeight="1">
      <c r="B18" s="417"/>
      <c r="C18" s="417"/>
      <c r="D18" s="417"/>
      <c r="E18" s="417"/>
      <c r="F18" s="419"/>
    </row>
    <row r="19" spans="2:6" ht="21" customHeight="1">
      <c r="B19" s="417"/>
      <c r="C19" s="417"/>
      <c r="D19" s="417"/>
      <c r="E19" s="417"/>
      <c r="F19" s="419"/>
    </row>
    <row r="20" spans="2:6" ht="21" customHeight="1">
      <c r="B20" s="417"/>
      <c r="C20" s="417"/>
      <c r="D20" s="417"/>
      <c r="E20" s="417"/>
      <c r="F20" s="419"/>
    </row>
    <row r="21" spans="2:6" ht="21" customHeight="1">
      <c r="B21" s="417"/>
      <c r="C21" s="417"/>
      <c r="D21" s="417"/>
      <c r="E21" s="417"/>
      <c r="F21" s="419"/>
    </row>
    <row r="22" spans="2:6" ht="21" customHeight="1">
      <c r="B22" s="417"/>
      <c r="C22" s="417"/>
      <c r="D22" s="417"/>
      <c r="E22" s="417"/>
      <c r="F22" s="419"/>
    </row>
    <row r="23" spans="2:6" ht="21" customHeight="1">
      <c r="B23" s="417"/>
      <c r="C23" s="417"/>
      <c r="D23" s="417"/>
      <c r="E23" s="417"/>
      <c r="F23" s="419"/>
    </row>
    <row r="24" spans="2:6" ht="21" customHeight="1">
      <c r="B24" s="417"/>
      <c r="C24" s="417"/>
      <c r="D24" s="417"/>
      <c r="E24" s="417"/>
      <c r="F24" s="419"/>
    </row>
    <row r="25" spans="2:6" ht="21" customHeight="1">
      <c r="B25" s="417"/>
      <c r="C25" s="417"/>
      <c r="D25" s="417"/>
      <c r="E25" s="417"/>
      <c r="F25" s="419"/>
    </row>
    <row r="26" spans="2:6" ht="21" customHeight="1">
      <c r="B26" s="417"/>
      <c r="C26" s="417"/>
      <c r="D26" s="417"/>
      <c r="E26" s="417"/>
      <c r="F26" s="419"/>
    </row>
    <row r="27" spans="2:6" ht="21" customHeight="1">
      <c r="B27" s="417"/>
      <c r="C27" s="417"/>
      <c r="D27" s="417"/>
      <c r="E27" s="417"/>
      <c r="F27" s="419"/>
    </row>
    <row r="28" spans="2:6" ht="21" customHeight="1">
      <c r="B28" s="417"/>
      <c r="C28" s="417"/>
      <c r="D28" s="417"/>
      <c r="E28" s="417"/>
      <c r="F28" s="419"/>
    </row>
    <row r="29" spans="2:6" ht="21" customHeight="1">
      <c r="B29" s="417"/>
      <c r="C29" s="417"/>
      <c r="D29" s="417"/>
      <c r="E29" s="417"/>
      <c r="F29" s="419"/>
    </row>
    <row r="30" spans="2:6" ht="21" customHeight="1">
      <c r="B30" s="417"/>
      <c r="C30" s="417"/>
      <c r="D30" s="417"/>
      <c r="E30" s="417"/>
      <c r="F30" s="419"/>
    </row>
    <row r="31" spans="2:6" ht="21" customHeight="1">
      <c r="B31" s="417"/>
      <c r="C31" s="417"/>
      <c r="D31" s="417"/>
      <c r="E31" s="417"/>
      <c r="F31" s="419"/>
    </row>
    <row r="32" spans="2:6" ht="21" customHeight="1">
      <c r="B32" s="417"/>
      <c r="C32" s="417"/>
      <c r="D32" s="417"/>
      <c r="E32" s="417"/>
      <c r="F32" s="419"/>
    </row>
    <row r="33" spans="2:6" ht="21" customHeight="1">
      <c r="B33" s="417"/>
      <c r="C33" s="417"/>
      <c r="D33" s="417"/>
      <c r="E33" s="417"/>
      <c r="F33" s="419"/>
    </row>
    <row r="34" spans="2:6" ht="21" customHeight="1">
      <c r="B34" s="417"/>
      <c r="C34" s="417"/>
      <c r="D34" s="417"/>
      <c r="E34" s="417"/>
      <c r="F34" s="419"/>
    </row>
    <row r="35" spans="2:6" ht="21" customHeight="1">
      <c r="B35" s="417"/>
      <c r="C35" s="417"/>
      <c r="D35" s="417"/>
      <c r="E35" s="417"/>
      <c r="F35" s="419"/>
    </row>
    <row r="36" spans="2:6" ht="21" customHeight="1">
      <c r="B36" s="417"/>
      <c r="C36" s="417"/>
      <c r="D36" s="417"/>
      <c r="E36" s="417"/>
      <c r="F36" s="419"/>
    </row>
    <row r="37" spans="2:6" ht="21" customHeight="1">
      <c r="B37" s="417"/>
      <c r="C37" s="417"/>
      <c r="D37" s="417"/>
      <c r="E37" s="417"/>
      <c r="F37" s="419"/>
    </row>
    <row r="38" spans="2:6" ht="21" customHeight="1">
      <c r="B38" s="417"/>
      <c r="C38" s="417"/>
      <c r="D38" s="417"/>
      <c r="E38" s="417"/>
      <c r="F38" s="419"/>
    </row>
    <row r="39" spans="2:6" ht="21" customHeight="1">
      <c r="B39" s="417"/>
      <c r="C39" s="417"/>
      <c r="D39" s="417"/>
      <c r="E39" s="417"/>
      <c r="F39" s="419"/>
    </row>
    <row r="40" spans="2:6" ht="21" customHeight="1">
      <c r="B40" s="417"/>
      <c r="C40" s="417"/>
      <c r="D40" s="417"/>
      <c r="E40" s="417"/>
      <c r="F40" s="419"/>
    </row>
    <row r="41" spans="2:6" ht="21" customHeight="1">
      <c r="B41" s="417"/>
      <c r="C41" s="417"/>
      <c r="D41" s="417"/>
      <c r="E41" s="417"/>
      <c r="F41" s="419"/>
    </row>
    <row r="42" spans="2:6" ht="21" customHeight="1">
      <c r="B42" s="417"/>
      <c r="C42" s="417"/>
      <c r="D42" s="417"/>
      <c r="E42" s="417"/>
      <c r="F42" s="419"/>
    </row>
    <row r="43" spans="2:6" ht="21" customHeight="1" thickBot="1">
      <c r="B43" s="264" t="s">
        <v>3255</v>
      </c>
      <c r="C43" s="27"/>
      <c r="D43" s="27"/>
      <c r="E43" s="27"/>
      <c r="F43" s="202">
        <f>SUM(F5:F42)</f>
        <v>7308015.1100000003</v>
      </c>
    </row>
    <row r="44" spans="2:6" ht="13.8" thickTop="1"/>
    <row r="45" spans="2:6">
      <c r="B45" s="1174" t="s">
        <v>628</v>
      </c>
      <c r="C45" s="1174"/>
      <c r="D45" s="1174"/>
      <c r="E45" s="1174"/>
      <c r="F45" s="1174"/>
    </row>
    <row r="46" spans="2:6">
      <c r="B46" s="1174" t="s">
        <v>632</v>
      </c>
      <c r="C46" s="1174"/>
      <c r="D46" s="1174"/>
      <c r="E46" s="1174"/>
      <c r="F46" s="1174"/>
    </row>
    <row r="47" spans="2:6">
      <c r="B47" s="1"/>
      <c r="C47" s="1"/>
      <c r="D47" s="1"/>
      <c r="E47" s="1"/>
      <c r="F47" s="1"/>
    </row>
    <row r="49" spans="2:6" ht="13.8">
      <c r="B49" s="1130" t="s">
        <v>3244</v>
      </c>
      <c r="C49" s="1130"/>
      <c r="D49" s="1130"/>
      <c r="E49" s="1130"/>
      <c r="F49" s="1130"/>
    </row>
  </sheetData>
  <sheetProtection algorithmName="SHA-512" hashValue="bWuaQyx2VQsA3nXZvfHD6MdJMGaliLhaXWY4scrPo/4tVPzUVpD+T6naY6BE8fMtdktmqJRn0FY0j3jSleQbzw==" saltValue="EwMCfOSjrZxBfaYv2viaRg=="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211AD-A75F-4937-9240-378BF02AE297}">
  <sheetPr codeName="Sheet34"/>
  <dimension ref="B2:I49"/>
  <sheetViews>
    <sheetView zoomScaleNormal="100" workbookViewId="0">
      <selection activeCell="E42" sqref="E42"/>
    </sheetView>
  </sheetViews>
  <sheetFormatPr defaultColWidth="9.109375" defaultRowHeight="13.2"/>
  <cols>
    <col min="1" max="4" width="4.6640625" customWidth="1"/>
    <col min="5" max="5" width="63.6640625" customWidth="1"/>
    <col min="6" max="6" width="16.5546875" customWidth="1"/>
  </cols>
  <sheetData>
    <row r="2" spans="2:9" ht="22.8">
      <c r="B2" s="1213" t="str">
        <f>'9a-Cash Reconciliation'!B2:F2</f>
        <v xml:space="preserve">CASH  RECONCILIATION  DECEMBER 31, 2024 (cont'd)  </v>
      </c>
      <c r="C2" s="1213"/>
      <c r="D2" s="1213"/>
      <c r="E2" s="1213"/>
      <c r="F2" s="1213"/>
      <c r="G2" s="39"/>
      <c r="H2" s="39"/>
      <c r="I2" s="39"/>
    </row>
    <row r="4" spans="2:9" ht="16.2" thickBot="1">
      <c r="B4" s="1132" t="s">
        <v>631</v>
      </c>
      <c r="C4" s="1132"/>
      <c r="D4" s="1132"/>
      <c r="E4" s="1132"/>
      <c r="F4" s="1132"/>
    </row>
    <row r="5" spans="2:9" ht="21" customHeight="1" thickTop="1">
      <c r="B5" s="603" t="s">
        <v>3256</v>
      </c>
      <c r="C5" s="22"/>
      <c r="D5" s="22"/>
      <c r="E5" s="22"/>
      <c r="F5" s="655">
        <f>+'9a.3-Cash Reconciliation'!F43</f>
        <v>7308015.1100000003</v>
      </c>
    </row>
    <row r="6" spans="2:9" ht="21" customHeight="1">
      <c r="B6" s="417"/>
      <c r="C6" s="417"/>
      <c r="D6" s="417"/>
      <c r="E6" s="417"/>
      <c r="F6" s="419"/>
    </row>
    <row r="7" spans="2:9" ht="21" customHeight="1">
      <c r="B7" s="417"/>
      <c r="C7" s="417"/>
      <c r="D7" s="417"/>
      <c r="E7" s="417"/>
      <c r="F7" s="419"/>
    </row>
    <row r="8" spans="2:9" ht="21" customHeight="1">
      <c r="B8" s="417"/>
      <c r="C8" s="417"/>
      <c r="D8" s="417"/>
      <c r="E8" s="417"/>
      <c r="F8" s="419"/>
    </row>
    <row r="9" spans="2:9" ht="21" customHeight="1">
      <c r="B9" s="417"/>
      <c r="C9" s="417"/>
      <c r="D9" s="417"/>
      <c r="E9" s="417"/>
      <c r="F9" s="419"/>
    </row>
    <row r="10" spans="2:9" ht="21" customHeight="1">
      <c r="B10" s="417"/>
      <c r="C10" s="417"/>
      <c r="D10" s="417"/>
      <c r="E10" s="417"/>
      <c r="F10" s="419"/>
      <c r="I10" s="294"/>
    </row>
    <row r="11" spans="2:9" ht="21" customHeight="1">
      <c r="B11" s="417"/>
      <c r="C11" s="417"/>
      <c r="D11" s="417"/>
      <c r="E11" s="417"/>
      <c r="F11" s="419"/>
    </row>
    <row r="12" spans="2:9" ht="21" customHeight="1">
      <c r="B12" s="417"/>
      <c r="C12" s="417"/>
      <c r="D12" s="417"/>
      <c r="E12" s="417"/>
      <c r="F12" s="419"/>
    </row>
    <row r="13" spans="2:9" ht="21" customHeight="1">
      <c r="B13" s="417"/>
      <c r="C13" s="417"/>
      <c r="D13" s="417"/>
      <c r="E13" s="417"/>
      <c r="F13" s="419"/>
    </row>
    <row r="14" spans="2:9" ht="21" customHeight="1">
      <c r="B14" s="417"/>
      <c r="C14" s="417"/>
      <c r="D14" s="417"/>
      <c r="E14" s="417"/>
      <c r="F14" s="419"/>
    </row>
    <row r="15" spans="2:9" ht="21" customHeight="1">
      <c r="B15" s="417"/>
      <c r="C15" s="417"/>
      <c r="D15" s="417"/>
      <c r="E15" s="417"/>
      <c r="F15" s="419"/>
    </row>
    <row r="16" spans="2:9" ht="21" customHeight="1">
      <c r="B16" s="417"/>
      <c r="C16" s="417"/>
      <c r="D16" s="417"/>
      <c r="E16" s="417"/>
      <c r="F16" s="419"/>
    </row>
    <row r="17" spans="2:6" ht="21" customHeight="1">
      <c r="B17" s="417"/>
      <c r="C17" s="417"/>
      <c r="D17" s="417"/>
      <c r="E17" s="417"/>
      <c r="F17" s="419"/>
    </row>
    <row r="18" spans="2:6" ht="21" customHeight="1">
      <c r="B18" s="417"/>
      <c r="C18" s="417"/>
      <c r="D18" s="417"/>
      <c r="E18" s="417"/>
      <c r="F18" s="419"/>
    </row>
    <row r="19" spans="2:6" ht="21" customHeight="1">
      <c r="B19" s="417"/>
      <c r="C19" s="417"/>
      <c r="D19" s="417"/>
      <c r="E19" s="417"/>
      <c r="F19" s="419"/>
    </row>
    <row r="20" spans="2:6" ht="21" customHeight="1">
      <c r="B20" s="417"/>
      <c r="C20" s="417"/>
      <c r="D20" s="417"/>
      <c r="E20" s="417"/>
      <c r="F20" s="419"/>
    </row>
    <row r="21" spans="2:6" ht="21" customHeight="1">
      <c r="B21" s="417"/>
      <c r="C21" s="417"/>
      <c r="D21" s="417"/>
      <c r="E21" s="417"/>
      <c r="F21" s="419"/>
    </row>
    <row r="22" spans="2:6" ht="21" customHeight="1">
      <c r="B22" s="417"/>
      <c r="C22" s="417"/>
      <c r="D22" s="417"/>
      <c r="E22" s="417"/>
      <c r="F22" s="419"/>
    </row>
    <row r="23" spans="2:6" ht="21" customHeight="1">
      <c r="B23" s="417"/>
      <c r="C23" s="417"/>
      <c r="D23" s="417"/>
      <c r="E23" s="417"/>
      <c r="F23" s="419"/>
    </row>
    <row r="24" spans="2:6" ht="21" customHeight="1">
      <c r="B24" s="417"/>
      <c r="C24" s="417"/>
      <c r="D24" s="417"/>
      <c r="E24" s="417"/>
      <c r="F24" s="419"/>
    </row>
    <row r="25" spans="2:6" ht="21" customHeight="1">
      <c r="B25" s="417"/>
      <c r="C25" s="417"/>
      <c r="D25" s="417"/>
      <c r="E25" s="417"/>
      <c r="F25" s="419"/>
    </row>
    <row r="26" spans="2:6" ht="21" customHeight="1">
      <c r="B26" s="417"/>
      <c r="C26" s="417"/>
      <c r="D26" s="417"/>
      <c r="E26" s="417"/>
      <c r="F26" s="419"/>
    </row>
    <row r="27" spans="2:6" ht="21" customHeight="1">
      <c r="B27" s="417"/>
      <c r="C27" s="417"/>
      <c r="D27" s="417"/>
      <c r="E27" s="417"/>
      <c r="F27" s="419"/>
    </row>
    <row r="28" spans="2:6" ht="21" customHeight="1">
      <c r="B28" s="417"/>
      <c r="C28" s="417"/>
      <c r="D28" s="417"/>
      <c r="E28" s="417"/>
      <c r="F28" s="419"/>
    </row>
    <row r="29" spans="2:6" ht="21" customHeight="1">
      <c r="B29" s="417"/>
      <c r="C29" s="417"/>
      <c r="D29" s="417"/>
      <c r="E29" s="417"/>
      <c r="F29" s="419"/>
    </row>
    <row r="30" spans="2:6" ht="21" customHeight="1">
      <c r="B30" s="417"/>
      <c r="C30" s="417"/>
      <c r="D30" s="417"/>
      <c r="E30" s="417"/>
      <c r="F30" s="419"/>
    </row>
    <row r="31" spans="2:6" ht="21" customHeight="1">
      <c r="B31" s="417"/>
      <c r="C31" s="417"/>
      <c r="D31" s="417"/>
      <c r="E31" s="417"/>
      <c r="F31" s="419"/>
    </row>
    <row r="32" spans="2:6" ht="21" customHeight="1">
      <c r="B32" s="417"/>
      <c r="C32" s="417"/>
      <c r="D32" s="417"/>
      <c r="E32" s="417"/>
      <c r="F32" s="419"/>
    </row>
    <row r="33" spans="2:6" ht="21" customHeight="1">
      <c r="B33" s="417"/>
      <c r="C33" s="417"/>
      <c r="D33" s="417"/>
      <c r="E33" s="417"/>
      <c r="F33" s="419"/>
    </row>
    <row r="34" spans="2:6" ht="21" customHeight="1">
      <c r="B34" s="417"/>
      <c r="C34" s="417"/>
      <c r="D34" s="417"/>
      <c r="E34" s="417"/>
      <c r="F34" s="419"/>
    </row>
    <row r="35" spans="2:6" ht="21" customHeight="1">
      <c r="B35" s="417"/>
      <c r="C35" s="417"/>
      <c r="D35" s="417"/>
      <c r="E35" s="417"/>
      <c r="F35" s="419"/>
    </row>
    <row r="36" spans="2:6" ht="21" customHeight="1">
      <c r="B36" s="417"/>
      <c r="C36" s="417"/>
      <c r="D36" s="417"/>
      <c r="E36" s="417"/>
      <c r="F36" s="419"/>
    </row>
    <row r="37" spans="2:6" ht="21" customHeight="1">
      <c r="B37" s="417"/>
      <c r="C37" s="417"/>
      <c r="D37" s="417"/>
      <c r="E37" s="417"/>
      <c r="F37" s="419"/>
    </row>
    <row r="38" spans="2:6" ht="21" customHeight="1">
      <c r="B38" s="417"/>
      <c r="C38" s="417"/>
      <c r="D38" s="417"/>
      <c r="E38" s="417"/>
      <c r="F38" s="419"/>
    </row>
    <row r="39" spans="2:6" ht="21" customHeight="1">
      <c r="B39" s="417"/>
      <c r="C39" s="417"/>
      <c r="D39" s="417"/>
      <c r="E39" s="417"/>
      <c r="F39" s="419"/>
    </row>
    <row r="40" spans="2:6" ht="21" customHeight="1">
      <c r="B40" s="417"/>
      <c r="C40" s="417"/>
      <c r="D40" s="417"/>
      <c r="E40" s="417"/>
      <c r="F40" s="419"/>
    </row>
    <row r="41" spans="2:6" ht="21" customHeight="1">
      <c r="B41" s="417"/>
      <c r="C41" s="417"/>
      <c r="D41" s="417"/>
      <c r="E41" s="417"/>
      <c r="F41" s="419"/>
    </row>
    <row r="42" spans="2:6" ht="21" customHeight="1">
      <c r="B42" s="417"/>
      <c r="C42" s="417"/>
      <c r="D42" s="417"/>
      <c r="E42" s="417"/>
      <c r="F42" s="419"/>
    </row>
    <row r="43" spans="2:6" ht="21" customHeight="1" thickBot="1">
      <c r="B43" s="264" t="s">
        <v>3350</v>
      </c>
      <c r="C43" s="27"/>
      <c r="D43" s="27"/>
      <c r="E43" s="27"/>
      <c r="F43" s="202">
        <f>SUM(F5:F42)</f>
        <v>7308015.1100000003</v>
      </c>
    </row>
    <row r="44" spans="2:6" ht="13.8" thickTop="1"/>
    <row r="45" spans="2:6">
      <c r="B45" s="1174" t="s">
        <v>628</v>
      </c>
      <c r="C45" s="1174"/>
      <c r="D45" s="1174"/>
      <c r="E45" s="1174"/>
      <c r="F45" s="1174"/>
    </row>
    <row r="46" spans="2:6">
      <c r="B46" s="1174" t="s">
        <v>632</v>
      </c>
      <c r="C46" s="1174"/>
      <c r="D46" s="1174"/>
      <c r="E46" s="1174"/>
      <c r="F46" s="1174"/>
    </row>
    <row r="47" spans="2:6">
      <c r="B47" s="1"/>
      <c r="C47" s="1"/>
      <c r="D47" s="1"/>
      <c r="E47" s="1"/>
      <c r="F47" s="1"/>
    </row>
    <row r="49" spans="2:6" ht="13.8">
      <c r="B49" s="1130" t="s">
        <v>3260</v>
      </c>
      <c r="C49" s="1130"/>
      <c r="D49" s="1130"/>
      <c r="E49" s="1130"/>
      <c r="F49" s="1130"/>
    </row>
  </sheetData>
  <sheetProtection algorithmName="SHA-512" hashValue="3Cu3ttYQuzSZDr6tZ/+G9rkAgpHs6VkKHLJ6oVKQcX1Dv4XKbtiL27uSnqTRiDAyc9g45OwY682f9JvN6hFkGA==" saltValue="B3ZmPU+6Bi2pp/S1C7qSBg=="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5"/>
  <dimension ref="A2:N31"/>
  <sheetViews>
    <sheetView zoomScaleNormal="100" workbookViewId="0">
      <selection activeCell="I11" sqref="I11"/>
    </sheetView>
  </sheetViews>
  <sheetFormatPr defaultRowHeight="13.2"/>
  <cols>
    <col min="1" max="1" width="5.6640625" customWidth="1"/>
    <col min="2" max="4" width="4.88671875" customWidth="1"/>
    <col min="5" max="5" width="36.4414062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230</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1046" t="str">
        <f>IF('KEY INPUTS'!C42 = "State Fiscal Year", 'KEY INPUTS'!F48,'KEY INPUTS'!D48)</f>
        <v>Jan. 1, 2024</v>
      </c>
      <c r="G6" s="13" t="s">
        <v>635</v>
      </c>
      <c r="H6" s="13"/>
      <c r="I6" s="15"/>
      <c r="J6" s="20"/>
      <c r="K6" s="244" t="str">
        <f>IF('KEY INPUTS'!C42 = "State Fiscal Year", 'KEY INPUTS'!F47,'KEY INPUTS'!D47)</f>
        <v>Dec. 31, 2024</v>
      </c>
    </row>
    <row r="7" spans="1:14" ht="13.8" thickBot="1">
      <c r="B7" s="10"/>
      <c r="C7" s="10"/>
      <c r="D7" s="10"/>
      <c r="E7" s="10"/>
      <c r="F7" s="14"/>
      <c r="G7" s="16" t="s">
        <v>636</v>
      </c>
      <c r="H7" s="14"/>
      <c r="I7" s="14"/>
      <c r="J7" s="17"/>
      <c r="K7" s="19"/>
    </row>
    <row r="8" spans="1:14" ht="21" customHeight="1" thickTop="1">
      <c r="B8" s="488" t="s">
        <v>3766</v>
      </c>
      <c r="C8" s="420"/>
      <c r="D8" s="420"/>
      <c r="E8" s="421"/>
      <c r="F8" s="422"/>
      <c r="G8" s="422">
        <v>1956</v>
      </c>
      <c r="H8" s="422"/>
      <c r="I8" s="422">
        <v>-1956</v>
      </c>
      <c r="J8" s="422"/>
      <c r="K8" s="656">
        <f>+F8+G8-H8+I8-J8</f>
        <v>0</v>
      </c>
    </row>
    <row r="9" spans="1:14" ht="21" customHeight="1">
      <c r="B9" s="417" t="s">
        <v>3767</v>
      </c>
      <c r="C9" s="418"/>
      <c r="D9" s="417"/>
      <c r="E9" s="423"/>
      <c r="F9" s="291"/>
      <c r="G9" s="291">
        <v>4162.08</v>
      </c>
      <c r="H9" s="291"/>
      <c r="I9" s="291">
        <v>-4162.08</v>
      </c>
      <c r="J9" s="291"/>
      <c r="K9" s="630">
        <f t="shared" ref="K9:K26" si="0">+F9+G9-H9+I9-J9</f>
        <v>0</v>
      </c>
      <c r="L9" s="204"/>
    </row>
    <row r="10" spans="1:14" ht="21" customHeight="1">
      <c r="B10" s="417" t="s">
        <v>3768</v>
      </c>
      <c r="C10" s="417"/>
      <c r="D10" s="417"/>
      <c r="E10" s="423"/>
      <c r="F10" s="291"/>
      <c r="G10" s="291">
        <v>25000</v>
      </c>
      <c r="H10" s="291"/>
      <c r="I10" s="291">
        <v>-25000</v>
      </c>
      <c r="J10" s="291"/>
      <c r="K10" s="630">
        <f t="shared" si="0"/>
        <v>0</v>
      </c>
      <c r="L10" s="204"/>
      <c r="N10" s="294"/>
    </row>
    <row r="11" spans="1:14" ht="21" customHeight="1">
      <c r="B11" s="418"/>
      <c r="C11" s="424"/>
      <c r="D11" s="417"/>
      <c r="E11" s="423"/>
      <c r="F11" s="291"/>
      <c r="G11" s="291"/>
      <c r="H11" s="291"/>
      <c r="I11" s="291"/>
      <c r="J11" s="291"/>
      <c r="K11" s="630">
        <f t="shared" si="0"/>
        <v>0</v>
      </c>
      <c r="L11" s="204"/>
    </row>
    <row r="12" spans="1:14" ht="21" customHeight="1">
      <c r="B12" s="417"/>
      <c r="C12" s="418"/>
      <c r="D12" s="417"/>
      <c r="E12" s="423"/>
      <c r="F12" s="291"/>
      <c r="G12" s="291"/>
      <c r="H12" s="291"/>
      <c r="I12" s="291"/>
      <c r="J12" s="291"/>
      <c r="K12" s="630">
        <f t="shared" si="0"/>
        <v>0</v>
      </c>
      <c r="L12" s="204"/>
    </row>
    <row r="13" spans="1:14" ht="21" customHeight="1">
      <c r="B13" s="417"/>
      <c r="C13" s="417"/>
      <c r="D13" s="417"/>
      <c r="E13" s="423"/>
      <c r="F13" s="291"/>
      <c r="G13" s="291"/>
      <c r="H13" s="291"/>
      <c r="I13" s="291"/>
      <c r="J13" s="291"/>
      <c r="K13" s="630">
        <f t="shared" si="0"/>
        <v>0</v>
      </c>
      <c r="L13" s="204"/>
    </row>
    <row r="14" spans="1:14" ht="21" customHeight="1">
      <c r="B14" s="417"/>
      <c r="C14" s="418"/>
      <c r="D14" s="417"/>
      <c r="E14" s="423"/>
      <c r="F14" s="291"/>
      <c r="G14" s="291"/>
      <c r="H14" s="291"/>
      <c r="I14" s="291"/>
      <c r="J14" s="291"/>
      <c r="K14" s="630">
        <f t="shared" si="0"/>
        <v>0</v>
      </c>
      <c r="L14" s="204"/>
    </row>
    <row r="15" spans="1:14" ht="21" customHeight="1">
      <c r="A15" s="1195" t="s">
        <v>634</v>
      </c>
      <c r="B15" s="417"/>
      <c r="C15" s="418"/>
      <c r="D15" s="417"/>
      <c r="E15" s="423"/>
      <c r="F15" s="291"/>
      <c r="G15" s="291"/>
      <c r="H15" s="291"/>
      <c r="I15" s="291"/>
      <c r="J15" s="291"/>
      <c r="K15" s="630">
        <f t="shared" si="0"/>
        <v>0</v>
      </c>
      <c r="L15" s="204"/>
    </row>
    <row r="16" spans="1:14" ht="21" customHeight="1">
      <c r="A16" s="1195"/>
      <c r="B16" s="417"/>
      <c r="C16" s="424"/>
      <c r="D16" s="417"/>
      <c r="E16" s="423"/>
      <c r="F16" s="291"/>
      <c r="G16" s="291"/>
      <c r="H16" s="291"/>
      <c r="I16" s="291"/>
      <c r="J16" s="291"/>
      <c r="K16" s="630">
        <f t="shared" si="0"/>
        <v>0</v>
      </c>
      <c r="L16" s="204"/>
    </row>
    <row r="17" spans="1:12" ht="21" customHeight="1">
      <c r="A17" s="1195"/>
      <c r="B17" s="417"/>
      <c r="C17" s="418"/>
      <c r="D17" s="417"/>
      <c r="E17" s="423"/>
      <c r="F17" s="291"/>
      <c r="G17" s="291"/>
      <c r="H17" s="291"/>
      <c r="I17" s="291"/>
      <c r="J17" s="291"/>
      <c r="K17" s="630">
        <f t="shared" si="0"/>
        <v>0</v>
      </c>
      <c r="L17" s="204"/>
    </row>
    <row r="18" spans="1:12" ht="21" customHeight="1">
      <c r="B18" s="417"/>
      <c r="C18" s="417"/>
      <c r="D18" s="417"/>
      <c r="E18" s="423"/>
      <c r="F18" s="291"/>
      <c r="G18" s="291"/>
      <c r="H18" s="291"/>
      <c r="I18" s="291"/>
      <c r="J18" s="291"/>
      <c r="K18" s="630">
        <f t="shared" si="0"/>
        <v>0</v>
      </c>
      <c r="L18" s="204"/>
    </row>
    <row r="19" spans="1:12" ht="21" customHeight="1">
      <c r="B19" s="418"/>
      <c r="C19" s="418"/>
      <c r="D19" s="417"/>
      <c r="E19" s="423"/>
      <c r="F19" s="291"/>
      <c r="G19" s="291"/>
      <c r="H19" s="291"/>
      <c r="I19" s="291"/>
      <c r="J19" s="291"/>
      <c r="K19" s="630">
        <f t="shared" si="0"/>
        <v>0</v>
      </c>
      <c r="L19" s="204"/>
    </row>
    <row r="20" spans="1:12" ht="21" customHeight="1">
      <c r="B20" s="417"/>
      <c r="C20" s="418"/>
      <c r="D20" s="418"/>
      <c r="E20" s="423"/>
      <c r="F20" s="291"/>
      <c r="G20" s="291"/>
      <c r="H20" s="291"/>
      <c r="I20" s="291"/>
      <c r="J20" s="291"/>
      <c r="K20" s="630">
        <f t="shared" si="0"/>
        <v>0</v>
      </c>
      <c r="L20" s="204"/>
    </row>
    <row r="21" spans="1:12" ht="21" customHeight="1">
      <c r="B21" s="417"/>
      <c r="C21" s="418"/>
      <c r="D21" s="417"/>
      <c r="E21" s="423"/>
      <c r="F21" s="291"/>
      <c r="G21" s="291"/>
      <c r="H21" s="291"/>
      <c r="I21" s="291"/>
      <c r="J21" s="291"/>
      <c r="K21" s="630">
        <f t="shared" si="0"/>
        <v>0</v>
      </c>
      <c r="L21" s="204"/>
    </row>
    <row r="22" spans="1:12" ht="21" customHeight="1">
      <c r="B22" s="417"/>
      <c r="C22" s="418"/>
      <c r="D22" s="417"/>
      <c r="E22" s="423"/>
      <c r="F22" s="291"/>
      <c r="G22" s="291"/>
      <c r="H22" s="291"/>
      <c r="I22" s="291"/>
      <c r="J22" s="291"/>
      <c r="K22" s="630">
        <f t="shared" si="0"/>
        <v>0</v>
      </c>
      <c r="L22" s="204"/>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c r="L24" s="204"/>
    </row>
    <row r="25" spans="1:12" ht="21" customHeight="1">
      <c r="B25" s="417"/>
      <c r="C25" s="417"/>
      <c r="D25" s="417"/>
      <c r="E25" s="423"/>
      <c r="F25" s="291"/>
      <c r="G25" s="291"/>
      <c r="H25" s="291"/>
      <c r="I25" s="291"/>
      <c r="J25" s="291"/>
      <c r="K25" s="630">
        <f t="shared" si="0"/>
        <v>0</v>
      </c>
      <c r="L25" s="204"/>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J27" si="1">SUM(F8:F26)</f>
        <v>0</v>
      </c>
      <c r="G27" s="95">
        <f t="shared" si="1"/>
        <v>31118.080000000002</v>
      </c>
      <c r="H27" s="95">
        <f t="shared" si="1"/>
        <v>0</v>
      </c>
      <c r="I27" s="95">
        <f t="shared" si="1"/>
        <v>-31118.080000000002</v>
      </c>
      <c r="J27" s="95">
        <f t="shared" si="1"/>
        <v>0</v>
      </c>
      <c r="K27" s="640">
        <f>SUM(K8:K26)</f>
        <v>0</v>
      </c>
      <c r="L27" s="550"/>
    </row>
    <row r="28" spans="1:12" ht="13.8" thickTop="1"/>
    <row r="29" spans="1:12">
      <c r="F29" s="204"/>
      <c r="K29" s="204"/>
      <c r="L29" s="204"/>
    </row>
    <row r="31" spans="1:12">
      <c r="F31" s="61"/>
      <c r="G31" s="204"/>
      <c r="H31" s="204"/>
      <c r="K31" s="61"/>
    </row>
  </sheetData>
  <sheetProtection algorithmName="SHA-512" hashValue="YjTDTbrpoqMm/fyN6MstU8LuW5z+xfO9eyHIx4giTexXaZu3mEV23Tq5pjYoQ8rdZxAZcBpiI7+lfA7jTA3s7g==" saltValue="Ig/Z37Z4zfO9OWYDtBOJwA==" spinCount="100000" sheet="1" objects="1" scenarios="1"/>
  <mergeCells count="4">
    <mergeCell ref="B2:K2"/>
    <mergeCell ref="B3:K3"/>
    <mergeCell ref="A15:A17"/>
    <mergeCell ref="B5:E5"/>
  </mergeCells>
  <phoneticPr fontId="0" type="noConversion"/>
  <pageMargins left="0.25" right="0.25" top="0.5" bottom="0.5" header="0.25" footer="0.25"/>
  <pageSetup paperSize="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dimension ref="A2:N32"/>
  <sheetViews>
    <sheetView topLeftCell="A4" zoomScaleNormal="100" workbookViewId="0">
      <selection activeCell="F26" sqref="F26"/>
    </sheetView>
  </sheetViews>
  <sheetFormatPr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22" t="s">
        <v>3263</v>
      </c>
      <c r="C8" s="22"/>
      <c r="D8" s="22"/>
      <c r="E8" s="23"/>
      <c r="F8" s="657">
        <f>+'10-Grants Receivable'!F27</f>
        <v>0</v>
      </c>
      <c r="G8" s="657">
        <f>+'10-Grants Receivable'!G27</f>
        <v>31118.080000000002</v>
      </c>
      <c r="H8" s="657">
        <f>+'10-Grants Receivable'!H27</f>
        <v>0</v>
      </c>
      <c r="I8" s="657">
        <f>+'10-Grants Receivable'!I27</f>
        <v>-31118.080000000002</v>
      </c>
      <c r="J8" s="657">
        <f>+'10-Grants Receivable'!J27</f>
        <v>0</v>
      </c>
      <c r="K8" s="658">
        <f>+'10-Grants Receivable'!K27</f>
        <v>0</v>
      </c>
    </row>
    <row r="9" spans="1:14" ht="21" customHeight="1">
      <c r="B9" s="417"/>
      <c r="C9" s="417"/>
      <c r="D9" s="417"/>
      <c r="E9" s="423"/>
      <c r="F9" s="291"/>
      <c r="G9" s="291"/>
      <c r="H9" s="291"/>
      <c r="I9" s="291"/>
      <c r="J9" s="291"/>
      <c r="K9" s="659">
        <f>+F9+G9-H9+I9-J9</f>
        <v>0</v>
      </c>
      <c r="L9" s="204"/>
    </row>
    <row r="10" spans="1:14" ht="21" customHeight="1">
      <c r="B10" s="417"/>
      <c r="C10" s="417"/>
      <c r="D10" s="417"/>
      <c r="E10" s="423"/>
      <c r="F10" s="291"/>
      <c r="G10" s="291"/>
      <c r="H10" s="291"/>
      <c r="I10" s="291"/>
      <c r="J10" s="291"/>
      <c r="K10" s="659">
        <f t="shared" ref="K10:K26" si="0">+F10+G10-H10+I10-J10</f>
        <v>0</v>
      </c>
      <c r="N10" s="294"/>
    </row>
    <row r="11" spans="1:14" ht="21" customHeight="1">
      <c r="B11" s="417"/>
      <c r="C11" s="417"/>
      <c r="D11" s="417"/>
      <c r="E11" s="423"/>
      <c r="F11" s="291"/>
      <c r="G11" s="291"/>
      <c r="H11" s="291"/>
      <c r="I11" s="291"/>
      <c r="J11" s="291"/>
      <c r="K11" s="630">
        <f t="shared" si="0"/>
        <v>0</v>
      </c>
      <c r="L11" s="204"/>
    </row>
    <row r="12" spans="1:14" ht="21" customHeight="1">
      <c r="B12" s="417"/>
      <c r="C12" s="427"/>
      <c r="D12" s="417"/>
      <c r="E12" s="423"/>
      <c r="F12" s="291"/>
      <c r="G12" s="291"/>
      <c r="H12" s="291"/>
      <c r="I12" s="291"/>
      <c r="J12" s="291"/>
      <c r="K12" s="630">
        <f t="shared" si="0"/>
        <v>0</v>
      </c>
    </row>
    <row r="13" spans="1:14" ht="21" customHeight="1">
      <c r="B13" s="417"/>
      <c r="C13" s="427"/>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195" t="s">
        <v>3264</v>
      </c>
      <c r="B15" s="417"/>
      <c r="C15" s="418"/>
      <c r="D15" s="417"/>
      <c r="E15" s="423"/>
      <c r="F15" s="291"/>
      <c r="G15" s="291"/>
      <c r="H15" s="291"/>
      <c r="I15" s="291"/>
      <c r="J15" s="291"/>
      <c r="K15" s="660">
        <f t="shared" si="0"/>
        <v>0</v>
      </c>
    </row>
    <row r="16" spans="1:14" ht="21" customHeight="1">
      <c r="A16" s="1195"/>
      <c r="B16" s="417"/>
      <c r="C16" s="418"/>
      <c r="D16" s="417"/>
      <c r="E16" s="423"/>
      <c r="F16" s="291"/>
      <c r="G16" s="291"/>
      <c r="H16" s="291"/>
      <c r="I16" s="291"/>
      <c r="J16" s="291"/>
      <c r="K16" s="661">
        <f t="shared" si="0"/>
        <v>0</v>
      </c>
    </row>
    <row r="17" spans="1:12" ht="21" customHeight="1">
      <c r="A17" s="1195"/>
      <c r="B17" s="417"/>
      <c r="C17" s="418"/>
      <c r="D17" s="417"/>
      <c r="E17" s="423"/>
      <c r="F17" s="291"/>
      <c r="G17" s="291"/>
      <c r="H17" s="291"/>
      <c r="I17" s="291"/>
      <c r="J17" s="291"/>
      <c r="K17" s="659">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6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61">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60">
        <f t="shared" si="0"/>
        <v>0</v>
      </c>
    </row>
    <row r="25" spans="1:12" ht="21" customHeight="1">
      <c r="B25" s="417"/>
      <c r="C25" s="417"/>
      <c r="D25" s="417"/>
      <c r="E25" s="423"/>
      <c r="F25" s="291"/>
      <c r="G25" s="291"/>
      <c r="H25" s="291"/>
      <c r="I25" s="291"/>
      <c r="J25" s="291"/>
      <c r="K25" s="661">
        <f t="shared" si="0"/>
        <v>0</v>
      </c>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J27" si="1">SUM(F8:F26)</f>
        <v>0</v>
      </c>
      <c r="G27" s="95">
        <f t="shared" si="1"/>
        <v>31118.080000000002</v>
      </c>
      <c r="H27" s="95">
        <f t="shared" si="1"/>
        <v>0</v>
      </c>
      <c r="I27" s="95">
        <f t="shared" si="1"/>
        <v>-31118.080000000002</v>
      </c>
      <c r="J27" s="95">
        <f t="shared" si="1"/>
        <v>0</v>
      </c>
      <c r="K27" s="662">
        <f>SUM(K8:K26)</f>
        <v>0</v>
      </c>
    </row>
    <row r="28" spans="1:12" ht="13.8" thickTop="1"/>
    <row r="29" spans="1:12">
      <c r="K29" s="204"/>
    </row>
    <row r="30" spans="1:12">
      <c r="F30" s="204"/>
      <c r="G30" s="204"/>
      <c r="K30" s="204"/>
      <c r="L30" s="204"/>
    </row>
    <row r="31" spans="1:12">
      <c r="K31" s="204"/>
    </row>
    <row r="32" spans="1:12">
      <c r="G32" s="204"/>
    </row>
  </sheetData>
  <sheetProtection algorithmName="SHA-512" hashValue="HFGxjARoAltBdlt+tn74GeBHrWXiGVUDWA/oVCRjlgqnH8ml5H+1fzl3zbULpZ+KhIAHH5oB+FURA6vLADvEMw==" saltValue="dCnHn5Sy6iaKMRawtzq92Q==" spinCount="100000" sheet="1" objects="1" scenarios="1"/>
  <mergeCells count="4">
    <mergeCell ref="B2:K2"/>
    <mergeCell ref="B3:K3"/>
    <mergeCell ref="A15:A17"/>
    <mergeCell ref="B5:E5"/>
  </mergeCells>
  <phoneticPr fontId="0" type="noConversion"/>
  <pageMargins left="0.25" right="0.25" top="0.5" bottom="0.5" header="0.25" footer="0.25"/>
  <pageSetup paperSize="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0BB1D-0D70-46BC-8DD9-3F8D1CBD1F72}">
  <sheetPr codeName="Sheet37"/>
  <dimension ref="A2:N32"/>
  <sheetViews>
    <sheetView zoomScaleNormal="100" workbookViewId="0">
      <selection activeCell="G5" sqref="G5"/>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22" t="s">
        <v>3263</v>
      </c>
      <c r="C8" s="22"/>
      <c r="D8" s="22"/>
      <c r="E8" s="23"/>
      <c r="F8" s="657">
        <f>+'10.1-Grants Receivable'!F27</f>
        <v>0</v>
      </c>
      <c r="G8" s="657">
        <f>+'10.1-Grants Receivable'!G27</f>
        <v>31118.080000000002</v>
      </c>
      <c r="H8" s="657">
        <f>+'10.1-Grants Receivable'!H27</f>
        <v>0</v>
      </c>
      <c r="I8" s="657">
        <f>+'10.1-Grants Receivable'!I27</f>
        <v>-31118.080000000002</v>
      </c>
      <c r="J8" s="657">
        <f>+'10.1-Grants Receivable'!J27</f>
        <v>0</v>
      </c>
      <c r="K8" s="658">
        <f>+'10.1-Grants Receivable'!K27</f>
        <v>0</v>
      </c>
    </row>
    <row r="9" spans="1:14" ht="21" customHeight="1">
      <c r="B9" s="417"/>
      <c r="C9" s="417"/>
      <c r="D9" s="417"/>
      <c r="E9" s="423"/>
      <c r="F9" s="291"/>
      <c r="G9" s="291"/>
      <c r="H9" s="291"/>
      <c r="I9" s="291"/>
      <c r="J9" s="291"/>
      <c r="K9" s="630">
        <f>+F9+G9-H9+I9-J9</f>
        <v>0</v>
      </c>
      <c r="L9" s="204"/>
    </row>
    <row r="10" spans="1:14" ht="21" customHeight="1">
      <c r="B10" s="417"/>
      <c r="C10" s="417"/>
      <c r="D10" s="417"/>
      <c r="E10" s="423"/>
      <c r="F10" s="291"/>
      <c r="G10" s="291"/>
      <c r="H10" s="291"/>
      <c r="I10" s="291"/>
      <c r="J10" s="291"/>
      <c r="K10" s="630">
        <f t="shared" ref="K10:K26" si="0">+F10+G10-H10+I10-J10</f>
        <v>0</v>
      </c>
      <c r="N10" s="294"/>
    </row>
    <row r="11" spans="1:14" ht="21" customHeight="1">
      <c r="B11" s="417"/>
      <c r="C11" s="417"/>
      <c r="D11" s="417"/>
      <c r="E11" s="423"/>
      <c r="F11" s="291"/>
      <c r="G11" s="291"/>
      <c r="H11" s="291"/>
      <c r="I11" s="291"/>
      <c r="J11" s="291"/>
      <c r="K11" s="630">
        <f t="shared" si="0"/>
        <v>0</v>
      </c>
      <c r="L11" s="204"/>
    </row>
    <row r="12" spans="1:14" ht="21" customHeight="1">
      <c r="B12" s="417"/>
      <c r="C12" s="427"/>
      <c r="D12" s="417"/>
      <c r="E12" s="423"/>
      <c r="F12" s="291"/>
      <c r="G12" s="291"/>
      <c r="H12" s="291"/>
      <c r="I12" s="291"/>
      <c r="J12" s="291"/>
      <c r="K12" s="630">
        <f t="shared" si="0"/>
        <v>0</v>
      </c>
    </row>
    <row r="13" spans="1:14" ht="21" customHeight="1">
      <c r="B13" s="417"/>
      <c r="C13" s="427"/>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195" t="s">
        <v>3265</v>
      </c>
      <c r="B15" s="417"/>
      <c r="C15" s="418"/>
      <c r="D15" s="417"/>
      <c r="E15" s="423"/>
      <c r="F15" s="291"/>
      <c r="G15" s="291"/>
      <c r="H15" s="291"/>
      <c r="I15" s="291"/>
      <c r="J15" s="291"/>
      <c r="K15" s="630">
        <f t="shared" si="0"/>
        <v>0</v>
      </c>
    </row>
    <row r="16" spans="1:14" ht="21" customHeight="1">
      <c r="A16" s="1195"/>
      <c r="B16" s="417"/>
      <c r="C16" s="418"/>
      <c r="D16" s="417"/>
      <c r="E16" s="423"/>
      <c r="F16" s="291"/>
      <c r="G16" s="291"/>
      <c r="H16" s="291"/>
      <c r="I16" s="291"/>
      <c r="J16" s="291"/>
      <c r="K16" s="630">
        <f t="shared" si="0"/>
        <v>0</v>
      </c>
    </row>
    <row r="17" spans="1:12" ht="21" customHeight="1">
      <c r="A17" s="1195"/>
      <c r="B17" s="417"/>
      <c r="C17" s="418"/>
      <c r="D17" s="417"/>
      <c r="E17" s="423"/>
      <c r="F17" s="291"/>
      <c r="G17" s="291"/>
      <c r="H17" s="291"/>
      <c r="I17" s="291"/>
      <c r="J17" s="291"/>
      <c r="K17" s="630">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3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30">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row>
    <row r="25" spans="1:12" ht="21" customHeight="1">
      <c r="B25" s="417"/>
      <c r="C25" s="417"/>
      <c r="D25" s="417"/>
      <c r="E25" s="423"/>
      <c r="F25" s="291"/>
      <c r="G25" s="291"/>
      <c r="H25" s="291"/>
      <c r="I25" s="291"/>
      <c r="J25" s="291"/>
      <c r="K25" s="630">
        <f t="shared" si="0"/>
        <v>0</v>
      </c>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640">
        <f t="shared" si="1"/>
        <v>0</v>
      </c>
    </row>
    <row r="28" spans="1:12" ht="13.8" thickTop="1"/>
    <row r="29" spans="1:12">
      <c r="K29" s="204">
        <f>F27+G27-H27+I27-K27-J27</f>
        <v>0</v>
      </c>
    </row>
    <row r="30" spans="1:12">
      <c r="F30" s="204"/>
      <c r="G30" s="204"/>
      <c r="K30" s="204"/>
      <c r="L30" s="204"/>
    </row>
    <row r="31" spans="1:12">
      <c r="K31" s="204">
        <f>+F27+G27-H27-I27-J27-K27</f>
        <v>62236.160000000003</v>
      </c>
    </row>
    <row r="32" spans="1:12">
      <c r="G32" s="204"/>
    </row>
  </sheetData>
  <sheetProtection algorithmName="SHA-512" hashValue="8OGCbGHTHkkfkwDricVqpP80ws6vd1Ov6Dc2VMgtgqJukkR+PsLNFDTO0qxkPoUxnoZvnM8Br0hiqBy+tSZYHQ==" saltValue="ZbO36LKtlCTMhT0VE0ZXm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16EA4-6279-4B22-81D5-6EA8E8BB6098}">
  <sheetPr codeName="Sheet38"/>
  <dimension ref="A2:N32"/>
  <sheetViews>
    <sheetView zoomScaleNormal="100" workbookViewId="0">
      <selection activeCell="G5" sqref="G5"/>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22" t="s">
        <v>3263</v>
      </c>
      <c r="C8" s="22"/>
      <c r="D8" s="22"/>
      <c r="E8" s="23"/>
      <c r="F8" s="657">
        <f>+'10.2-Grants Receivable'!F27</f>
        <v>0</v>
      </c>
      <c r="G8" s="657">
        <f>+'10.2-Grants Receivable'!G27</f>
        <v>31118.080000000002</v>
      </c>
      <c r="H8" s="657">
        <f>+'10.2-Grants Receivable'!H27</f>
        <v>0</v>
      </c>
      <c r="I8" s="657">
        <f>+'10.2-Grants Receivable'!I27</f>
        <v>-31118.080000000002</v>
      </c>
      <c r="J8" s="657">
        <f>+'10.2-Grants Receivable'!J27</f>
        <v>0</v>
      </c>
      <c r="K8" s="658">
        <f>+'10.2-Grants Receivable'!K27</f>
        <v>0</v>
      </c>
    </row>
    <row r="9" spans="1:14" ht="21" customHeight="1">
      <c r="B9" s="417"/>
      <c r="C9" s="417"/>
      <c r="D9" s="417"/>
      <c r="E9" s="423"/>
      <c r="F9" s="291"/>
      <c r="G9" s="291"/>
      <c r="H9" s="291"/>
      <c r="I9" s="291"/>
      <c r="J9" s="291"/>
      <c r="K9" s="630">
        <f>+F9+G9-H9+I9-J9</f>
        <v>0</v>
      </c>
      <c r="L9" s="204"/>
    </row>
    <row r="10" spans="1:14" ht="21" customHeight="1">
      <c r="B10" s="417"/>
      <c r="C10" s="417"/>
      <c r="D10" s="417"/>
      <c r="E10" s="423"/>
      <c r="F10" s="291"/>
      <c r="G10" s="291"/>
      <c r="H10" s="291"/>
      <c r="I10" s="291"/>
      <c r="J10" s="291"/>
      <c r="K10" s="630">
        <f t="shared" ref="K10:K26" si="0">+F10+G10-H10+I10-J10</f>
        <v>0</v>
      </c>
      <c r="N10" s="294"/>
    </row>
    <row r="11" spans="1:14" ht="21" customHeight="1">
      <c r="B11" s="417"/>
      <c r="C11" s="417"/>
      <c r="D11" s="417"/>
      <c r="E11" s="423"/>
      <c r="F11" s="291"/>
      <c r="G11" s="291"/>
      <c r="H11" s="291"/>
      <c r="I11" s="291"/>
      <c r="J11" s="291"/>
      <c r="K11" s="630">
        <f t="shared" si="0"/>
        <v>0</v>
      </c>
      <c r="L11" s="204"/>
    </row>
    <row r="12" spans="1:14" ht="21" customHeight="1">
      <c r="B12" s="417"/>
      <c r="C12" s="427"/>
      <c r="D12" s="417"/>
      <c r="E12" s="423"/>
      <c r="F12" s="291"/>
      <c r="G12" s="291"/>
      <c r="H12" s="291"/>
      <c r="I12" s="291"/>
      <c r="J12" s="291"/>
      <c r="K12" s="630">
        <f t="shared" si="0"/>
        <v>0</v>
      </c>
    </row>
    <row r="13" spans="1:14" ht="21" customHeight="1">
      <c r="B13" s="417"/>
      <c r="C13" s="427"/>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195" t="s">
        <v>3266</v>
      </c>
      <c r="B15" s="417"/>
      <c r="C15" s="418"/>
      <c r="D15" s="417"/>
      <c r="E15" s="423"/>
      <c r="F15" s="291"/>
      <c r="G15" s="291"/>
      <c r="H15" s="291"/>
      <c r="I15" s="291"/>
      <c r="J15" s="291"/>
      <c r="K15" s="630">
        <f t="shared" si="0"/>
        <v>0</v>
      </c>
    </row>
    <row r="16" spans="1:14" ht="21" customHeight="1">
      <c r="A16" s="1195"/>
      <c r="B16" s="417"/>
      <c r="C16" s="418"/>
      <c r="D16" s="417"/>
      <c r="E16" s="423"/>
      <c r="F16" s="291"/>
      <c r="G16" s="291"/>
      <c r="H16" s="291"/>
      <c r="I16" s="291"/>
      <c r="J16" s="291"/>
      <c r="K16" s="630">
        <f t="shared" si="0"/>
        <v>0</v>
      </c>
    </row>
    <row r="17" spans="1:12" ht="21" customHeight="1">
      <c r="A17" s="1195"/>
      <c r="B17" s="417"/>
      <c r="C17" s="418"/>
      <c r="D17" s="417"/>
      <c r="E17" s="423"/>
      <c r="F17" s="291"/>
      <c r="G17" s="291"/>
      <c r="H17" s="291"/>
      <c r="I17" s="291"/>
      <c r="J17" s="291"/>
      <c r="K17" s="630">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3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30">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row>
    <row r="25" spans="1:12" ht="21" customHeight="1">
      <c r="B25" s="417"/>
      <c r="C25" s="417"/>
      <c r="D25" s="417"/>
      <c r="E25" s="423"/>
      <c r="F25" s="291"/>
      <c r="G25" s="291"/>
      <c r="H25" s="291"/>
      <c r="I25" s="291"/>
      <c r="J25" s="291"/>
      <c r="K25" s="630">
        <f t="shared" si="0"/>
        <v>0</v>
      </c>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640">
        <f t="shared" si="1"/>
        <v>0</v>
      </c>
    </row>
    <row r="28" spans="1:12" ht="13.8" thickTop="1"/>
    <row r="29" spans="1:12">
      <c r="K29" s="204">
        <f>F27+G27-H27+I27-K27-J27</f>
        <v>0</v>
      </c>
    </row>
    <row r="30" spans="1:12">
      <c r="F30" s="204"/>
      <c r="G30" s="204"/>
      <c r="K30" s="204"/>
      <c r="L30" s="204"/>
    </row>
    <row r="31" spans="1:12">
      <c r="K31" s="204">
        <f>+F27+G27-H27-I27-J27-K27</f>
        <v>62236.160000000003</v>
      </c>
    </row>
    <row r="32" spans="1:12">
      <c r="G32" s="204"/>
    </row>
  </sheetData>
  <sheetProtection algorithmName="SHA-512" hashValue="Sujclf9cO/c5d9bn53QPadv3ZHGpxEi2QPpaZghYW81a+n89lWc2H+tOyJ/0HpwqnF1bX6eXrYpvqCVxBmA0cA==" saltValue="M1V68JGxLEAtfVn2iVzUN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594B-BF77-4995-A334-9A45A2329605}">
  <sheetPr codeName="Sheet39"/>
  <dimension ref="A2:N32"/>
  <sheetViews>
    <sheetView zoomScaleNormal="100" workbookViewId="0">
      <selection activeCell="G5" sqref="G5"/>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22" t="s">
        <v>3263</v>
      </c>
      <c r="C8" s="22"/>
      <c r="D8" s="22"/>
      <c r="E8" s="23"/>
      <c r="F8" s="657">
        <f>+'10.3-Grants Receivable'!F27</f>
        <v>0</v>
      </c>
      <c r="G8" s="657">
        <f>+'10.3-Grants Receivable'!G27</f>
        <v>31118.080000000002</v>
      </c>
      <c r="H8" s="657">
        <f>+'10.3-Grants Receivable'!H27</f>
        <v>0</v>
      </c>
      <c r="I8" s="657">
        <f>+'10.3-Grants Receivable'!I27</f>
        <v>-31118.080000000002</v>
      </c>
      <c r="J8" s="657">
        <f>+'10.3-Grants Receivable'!J27</f>
        <v>0</v>
      </c>
      <c r="K8" s="658">
        <f>+'10.3-Grants Receivable'!K27</f>
        <v>0</v>
      </c>
    </row>
    <row r="9" spans="1:14" ht="21" customHeight="1">
      <c r="B9" s="417"/>
      <c r="C9" s="417"/>
      <c r="D9" s="417"/>
      <c r="E9" s="423"/>
      <c r="F9" s="291"/>
      <c r="G9" s="291"/>
      <c r="H9" s="291"/>
      <c r="I9" s="291"/>
      <c r="J9" s="291"/>
      <c r="K9" s="630">
        <f>+F9+G9-H9+I9-J9</f>
        <v>0</v>
      </c>
      <c r="L9" s="204"/>
    </row>
    <row r="10" spans="1:14" ht="21" customHeight="1">
      <c r="B10" s="417"/>
      <c r="C10" s="417"/>
      <c r="D10" s="417"/>
      <c r="E10" s="423"/>
      <c r="F10" s="291"/>
      <c r="G10" s="291"/>
      <c r="H10" s="291"/>
      <c r="I10" s="291"/>
      <c r="J10" s="291"/>
      <c r="K10" s="630">
        <f t="shared" ref="K10:K26" si="0">+F10+G10-H10+I10-J10</f>
        <v>0</v>
      </c>
      <c r="N10" s="294"/>
    </row>
    <row r="11" spans="1:14" ht="21" customHeight="1">
      <c r="B11" s="417"/>
      <c r="C11" s="417"/>
      <c r="D11" s="417"/>
      <c r="E11" s="423"/>
      <c r="F11" s="291"/>
      <c r="G11" s="291"/>
      <c r="H11" s="291"/>
      <c r="I11" s="291"/>
      <c r="J11" s="291"/>
      <c r="K11" s="630">
        <f t="shared" si="0"/>
        <v>0</v>
      </c>
      <c r="L11" s="204"/>
    </row>
    <row r="12" spans="1:14" ht="21" customHeight="1">
      <c r="B12" s="417"/>
      <c r="C12" s="427"/>
      <c r="D12" s="417"/>
      <c r="E12" s="423"/>
      <c r="F12" s="291"/>
      <c r="G12" s="291"/>
      <c r="H12" s="291"/>
      <c r="I12" s="291"/>
      <c r="J12" s="291"/>
      <c r="K12" s="630">
        <f t="shared" si="0"/>
        <v>0</v>
      </c>
    </row>
    <row r="13" spans="1:14" ht="21" customHeight="1">
      <c r="B13" s="417"/>
      <c r="C13" s="427"/>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195" t="s">
        <v>3267</v>
      </c>
      <c r="B15" s="417"/>
      <c r="C15" s="418"/>
      <c r="D15" s="417"/>
      <c r="E15" s="423"/>
      <c r="F15" s="291"/>
      <c r="G15" s="291"/>
      <c r="H15" s="291"/>
      <c r="I15" s="291"/>
      <c r="J15" s="291"/>
      <c r="K15" s="630">
        <f t="shared" si="0"/>
        <v>0</v>
      </c>
    </row>
    <row r="16" spans="1:14" ht="21" customHeight="1">
      <c r="A16" s="1195"/>
      <c r="B16" s="417"/>
      <c r="C16" s="418"/>
      <c r="D16" s="417"/>
      <c r="E16" s="423"/>
      <c r="F16" s="291"/>
      <c r="G16" s="291"/>
      <c r="H16" s="291"/>
      <c r="I16" s="291"/>
      <c r="J16" s="291"/>
      <c r="K16" s="630">
        <f t="shared" si="0"/>
        <v>0</v>
      </c>
    </row>
    <row r="17" spans="1:12" ht="21" customHeight="1">
      <c r="A17" s="1195"/>
      <c r="B17" s="417"/>
      <c r="C17" s="418"/>
      <c r="D17" s="417"/>
      <c r="E17" s="423"/>
      <c r="F17" s="291"/>
      <c r="G17" s="291"/>
      <c r="H17" s="291"/>
      <c r="I17" s="291"/>
      <c r="J17" s="291"/>
      <c r="K17" s="630">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3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30">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row>
    <row r="25" spans="1:12" ht="21" customHeight="1">
      <c r="B25" s="417"/>
      <c r="C25" s="417"/>
      <c r="D25" s="417"/>
      <c r="E25" s="423"/>
      <c r="F25" s="291"/>
      <c r="G25" s="291"/>
      <c r="H25" s="291"/>
      <c r="I25" s="291"/>
      <c r="J25" s="291"/>
      <c r="K25" s="630">
        <f t="shared" si="0"/>
        <v>0</v>
      </c>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640">
        <f t="shared" si="1"/>
        <v>0</v>
      </c>
    </row>
    <row r="28" spans="1:12" ht="13.8" thickTop="1"/>
    <row r="29" spans="1:12">
      <c r="K29" s="204">
        <f>F27+G27-H27+I27-K27-J27</f>
        <v>0</v>
      </c>
    </row>
    <row r="30" spans="1:12">
      <c r="F30" s="204"/>
      <c r="G30" s="204"/>
      <c r="K30" s="204"/>
      <c r="L30" s="204"/>
    </row>
    <row r="31" spans="1:12">
      <c r="K31" s="204">
        <f>+F27+G27-H27-I27-J27-K27</f>
        <v>62236.160000000003</v>
      </c>
    </row>
    <row r="32" spans="1:12">
      <c r="G32" s="204"/>
    </row>
  </sheetData>
  <sheetProtection algorithmName="SHA-512" hashValue="EM5q3daeORvEbWef7F8MabV9e0isiGxHo/s/JfogJsDMoAkvIuky4Z7/+2Kq2z/OVzFXUpHOB8R4BLjX4t5z/Q==" saltValue="qIB4OOua2M8zVedt2KC10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C6AA7-7B0C-4EFB-AB47-29CEBC9EBC37}">
  <sheetPr codeName="Sheet5">
    <tabColor rgb="FFFFC000"/>
  </sheetPr>
  <dimension ref="A1:E56"/>
  <sheetViews>
    <sheetView zoomScale="130" zoomScaleNormal="130" workbookViewId="0">
      <pane ySplit="2" topLeftCell="A42" activePane="bottomLeft" state="frozen"/>
      <selection pane="bottomLeft" activeCell="F24" sqref="F24"/>
    </sheetView>
  </sheetViews>
  <sheetFormatPr defaultRowHeight="13.2"/>
  <cols>
    <col min="1" max="1" width="3" customWidth="1"/>
    <col min="2" max="2" width="52.33203125" customWidth="1"/>
    <col min="3" max="3" width="13" bestFit="1" customWidth="1"/>
  </cols>
  <sheetData>
    <row r="1" spans="1:4">
      <c r="B1" s="112" t="s">
        <v>346</v>
      </c>
      <c r="C1" s="112" t="s">
        <v>347</v>
      </c>
      <c r="D1" s="112" t="s">
        <v>3517</v>
      </c>
    </row>
    <row r="2" spans="1:4">
      <c r="B2" t="str">
        <f>'KEY INPUTS'!D9</f>
        <v>BOROUGH OF MILFORD</v>
      </c>
      <c r="C2" t="str">
        <f>'KEY INPUTS'!D10</f>
        <v>HUNTERDON</v>
      </c>
      <c r="D2" t="str">
        <f>'KEY INPUTS'!D39</f>
        <v>1020</v>
      </c>
    </row>
    <row r="3" spans="1:4">
      <c r="B3" s="112"/>
      <c r="C3" s="112"/>
      <c r="D3" s="112"/>
    </row>
    <row r="4" spans="1:4">
      <c r="A4" s="78" t="s">
        <v>3513</v>
      </c>
      <c r="B4" s="5"/>
      <c r="C4" s="5"/>
      <c r="D4" s="5"/>
    </row>
    <row r="5" spans="1:4">
      <c r="B5" s="239" t="s">
        <v>3176</v>
      </c>
      <c r="C5" s="204">
        <f>'21-Current Fund Surplus'!L7</f>
        <v>728272.91</v>
      </c>
    </row>
    <row r="6" spans="1:4" ht="6.75" customHeight="1">
      <c r="B6" s="239"/>
      <c r="C6" s="204"/>
    </row>
    <row r="7" spans="1:4">
      <c r="B7" s="239" t="s">
        <v>3177</v>
      </c>
      <c r="C7" s="204">
        <f>'21-Current Fund Surplus'!K14</f>
        <v>1461552.29</v>
      </c>
    </row>
    <row r="8" spans="1:4" ht="6.75" customHeight="1">
      <c r="B8" s="239"/>
      <c r="C8" s="204"/>
    </row>
    <row r="9" spans="1:4">
      <c r="B9" s="239" t="s">
        <v>3518</v>
      </c>
      <c r="C9" s="204">
        <f>'19-Results of Op-Cur Fnd'!H45</f>
        <v>1970779.08</v>
      </c>
    </row>
    <row r="10" spans="1:4" ht="6.75" customHeight="1"/>
    <row r="11" spans="1:4">
      <c r="B11" s="239" t="s">
        <v>3178</v>
      </c>
      <c r="C11" s="204">
        <f>'21-Current Fund Surplus'!L23</f>
        <v>3752552.1</v>
      </c>
    </row>
    <row r="12" spans="1:4" ht="6.75" customHeight="1">
      <c r="B12" s="239"/>
      <c r="C12" s="204"/>
    </row>
    <row r="13" spans="1:4">
      <c r="B13" s="239" t="s">
        <v>3508</v>
      </c>
      <c r="C13" s="204">
        <f>'21-Current Fund Surplus'!L28</f>
        <v>1461552.2899999996</v>
      </c>
    </row>
    <row r="14" spans="1:4" ht="6.75" customHeight="1">
      <c r="B14" s="239"/>
      <c r="C14" s="204"/>
    </row>
    <row r="15" spans="1:4">
      <c r="B15" s="239" t="s">
        <v>3179</v>
      </c>
      <c r="C15" s="204">
        <f>'21-Current Fund Surplus'!L24</f>
        <v>0</v>
      </c>
    </row>
    <row r="16" spans="1:4" ht="6.75" customHeight="1">
      <c r="B16" s="239"/>
      <c r="C16" s="204"/>
    </row>
    <row r="17" spans="1:4">
      <c r="B17" s="239" t="s">
        <v>3185</v>
      </c>
      <c r="C17" s="204">
        <f>'21-Current Fund Surplus'!L27</f>
        <v>2290999.8100000005</v>
      </c>
    </row>
    <row r="18" spans="1:4" ht="6.75" customHeight="1">
      <c r="B18" s="239"/>
      <c r="C18" s="204"/>
    </row>
    <row r="19" spans="1:4">
      <c r="B19" s="239" t="s">
        <v>3510</v>
      </c>
      <c r="C19" s="204">
        <f>'27-Foreclosed Property'!K6</f>
        <v>0</v>
      </c>
    </row>
    <row r="20" spans="1:4" ht="6.75" customHeight="1">
      <c r="B20" s="239"/>
      <c r="C20" s="204"/>
    </row>
    <row r="21" spans="1:4">
      <c r="B21" s="239" t="s">
        <v>3511</v>
      </c>
      <c r="C21" s="204">
        <f>'27-Foreclosed Property'!L20</f>
        <v>0</v>
      </c>
    </row>
    <row r="22" spans="1:4">
      <c r="B22" s="239"/>
      <c r="C22" s="204"/>
    </row>
    <row r="23" spans="1:4">
      <c r="A23" s="78" t="s">
        <v>3515</v>
      </c>
      <c r="B23" s="5"/>
      <c r="C23" s="5"/>
      <c r="D23" s="5"/>
    </row>
    <row r="24" spans="1:4">
      <c r="B24" s="239" t="s">
        <v>3186</v>
      </c>
      <c r="C24" s="204">
        <f>'17-Budget Revenues'!I22</f>
        <v>1988187.9300000002</v>
      </c>
    </row>
    <row r="25" spans="1:4" ht="6.75" customHeight="1">
      <c r="B25" s="239"/>
      <c r="C25" s="204"/>
    </row>
    <row r="26" spans="1:4">
      <c r="B26" s="239" t="s">
        <v>166</v>
      </c>
      <c r="C26" s="204">
        <f>'17-Budget Revenues'!I6</f>
        <v>191000</v>
      </c>
    </row>
    <row r="27" spans="1:4" ht="6.75" customHeight="1">
      <c r="B27" s="239"/>
      <c r="C27" s="204"/>
    </row>
    <row r="28" spans="1:4">
      <c r="B28" s="239" t="s">
        <v>3505</v>
      </c>
      <c r="C28" s="204">
        <f>'17-Budget Revenues'!I8</f>
        <v>0</v>
      </c>
    </row>
    <row r="29" spans="1:4" ht="6.75" customHeight="1">
      <c r="B29" s="239"/>
      <c r="C29" s="204"/>
    </row>
    <row r="30" spans="1:4">
      <c r="B30" s="239" t="s">
        <v>261</v>
      </c>
      <c r="C30" s="204">
        <f>'17-Budget Revenues'!I21</f>
        <v>1128828.3600000003</v>
      </c>
    </row>
    <row r="31" spans="1:4" ht="6.75" customHeight="1">
      <c r="B31" s="239"/>
      <c r="C31" s="204"/>
    </row>
    <row r="32" spans="1:4">
      <c r="B32" s="239" t="s">
        <v>804</v>
      </c>
      <c r="C32" s="204">
        <f>'17-Budget Revenues'!I14</f>
        <v>481047.16</v>
      </c>
    </row>
    <row r="33" spans="1:5" ht="6.75" customHeight="1">
      <c r="B33" s="239"/>
      <c r="C33" s="204"/>
    </row>
    <row r="34" spans="1:5">
      <c r="B34" s="239" t="s">
        <v>805</v>
      </c>
      <c r="C34" s="204">
        <f>'17-Budget Revenues'!I15</f>
        <v>187312.41</v>
      </c>
    </row>
    <row r="35" spans="1:5" ht="6.75" customHeight="1">
      <c r="B35" s="239"/>
      <c r="C35" s="204"/>
    </row>
    <row r="36" spans="1:5">
      <c r="B36" s="239" t="s">
        <v>3506</v>
      </c>
      <c r="C36" s="204">
        <f>IFERROR('22-CY Levy'!H38,"-")</f>
        <v>0.97640000000000005</v>
      </c>
    </row>
    <row r="37" spans="1:5" ht="6.75" customHeight="1">
      <c r="B37" s="239"/>
      <c r="C37" s="204"/>
    </row>
    <row r="38" spans="1:5">
      <c r="B38" s="239" t="s">
        <v>3509</v>
      </c>
      <c r="C38" s="204">
        <f>'26-Delinquent Taxes and Liens'!M28</f>
        <v>222312.85999999926</v>
      </c>
    </row>
    <row r="39" spans="1:5">
      <c r="B39" s="239"/>
      <c r="C39" s="204"/>
    </row>
    <row r="40" spans="1:5">
      <c r="A40" s="78" t="s">
        <v>3514</v>
      </c>
      <c r="B40" s="5"/>
      <c r="C40" s="5"/>
      <c r="D40" s="5"/>
    </row>
    <row r="41" spans="1:5">
      <c r="B41" s="239" t="s">
        <v>3180</v>
      </c>
      <c r="C41" s="204">
        <f>'18-Budget Appropriations'!J17</f>
        <v>1816442.6800000002</v>
      </c>
    </row>
    <row r="42" spans="1:5" ht="6.75" customHeight="1">
      <c r="B42" s="239"/>
      <c r="C42" s="204"/>
    </row>
    <row r="43" spans="1:5">
      <c r="B43" s="239" t="s">
        <v>3507</v>
      </c>
      <c r="C43" s="974">
        <f>'46-Utility1'!K23+'46-Utility1'!K24+'46-Utility2'!K23+'46-Utility2'!K24+'46-Utility3'!K23+'46-Utility3'!K24+'46-Utility4'!K23+'46-Utility4'!K24+'46-Utility5'!K23+'46-Utility5'!K24+'46-Utility6'!K23+'46-Utility6'!K24</f>
        <v>119285</v>
      </c>
    </row>
    <row r="44" spans="1:5" ht="6.75" customHeight="1">
      <c r="B44" s="239"/>
      <c r="C44" s="204"/>
      <c r="E44" s="204"/>
    </row>
    <row r="45" spans="1:5">
      <c r="B45" s="239" t="s">
        <v>3512</v>
      </c>
      <c r="C45" s="204">
        <f>'28-Deferred Charges'!N25</f>
        <v>0</v>
      </c>
    </row>
    <row r="46" spans="1:5">
      <c r="B46" s="239"/>
      <c r="C46" s="204"/>
    </row>
    <row r="47" spans="1:5">
      <c r="A47" s="78" t="s">
        <v>3516</v>
      </c>
      <c r="B47" s="5"/>
      <c r="C47" s="5"/>
      <c r="D47" s="5"/>
    </row>
    <row r="48" spans="1:5">
      <c r="B48" s="239" t="s">
        <v>3181</v>
      </c>
      <c r="C48" s="204">
        <f>'31-Capital Bond Schedule'!G12+'31-Capital Bond Schedule'!G23+'32-Bond Schedule'!G11+'32-Bond Schedule'!G22</f>
        <v>0</v>
      </c>
    </row>
    <row r="49" spans="2:3" ht="6.75" customHeight="1">
      <c r="B49" s="239"/>
      <c r="C49" s="204"/>
    </row>
    <row r="50" spans="2:3">
      <c r="B50" s="239" t="s">
        <v>3184</v>
      </c>
      <c r="C50" s="204">
        <f>'31A-Loan Schedule'!G12+'31A-Loan Schedule'!G23+'31A.1-Loan Schedule'!G12+'31A.1-Loan Schedule'!G23+'31A.2-Loan Schedule'!G12+'31A.2-Loan Schedule'!G23</f>
        <v>0</v>
      </c>
    </row>
    <row r="51" spans="2:3" ht="6.75" customHeight="1">
      <c r="B51" s="239"/>
      <c r="C51" s="204"/>
    </row>
    <row r="52" spans="2:3">
      <c r="B52" s="239" t="s">
        <v>3182</v>
      </c>
      <c r="C52" s="204">
        <f>'33 Totals-Note Debt Service'!G23+'34-Assmt Note Debt Service'!G23</f>
        <v>242000</v>
      </c>
    </row>
    <row r="53" spans="2:3" ht="6.75" customHeight="1">
      <c r="B53" s="239"/>
      <c r="C53" s="204"/>
    </row>
    <row r="54" spans="2:3">
      <c r="B54" s="239" t="s">
        <v>3183</v>
      </c>
      <c r="C54" s="204">
        <f>'34a-Cap Lease Program Oblg'!G23</f>
        <v>0</v>
      </c>
    </row>
    <row r="55" spans="2:3" ht="5.25" customHeight="1"/>
    <row r="56" spans="2:3">
      <c r="B56" t="s">
        <v>3519</v>
      </c>
      <c r="C56" s="204">
        <f>'32-Bond Schedule'!G11+'32-Bond Schedule'!G22</f>
        <v>0</v>
      </c>
    </row>
  </sheetData>
  <pageMargins left="0.7" right="0.7" top="0.75" bottom="0.75" header="0.3" footer="0.3"/>
  <pageSetup paperSize="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A3404-0E74-4121-9DCA-75B8B81AB8A8}">
  <sheetPr codeName="Sheet40"/>
  <dimension ref="A2:N32"/>
  <sheetViews>
    <sheetView zoomScaleNormal="100" workbookViewId="0">
      <selection activeCell="G5" sqref="G5"/>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22" t="s">
        <v>3263</v>
      </c>
      <c r="C8" s="22"/>
      <c r="D8" s="22"/>
      <c r="E8" s="23"/>
      <c r="F8" s="657">
        <f>+'10.4-Grants Receivable'!F27</f>
        <v>0</v>
      </c>
      <c r="G8" s="657">
        <f>+'10.4-Grants Receivable'!G27</f>
        <v>31118.080000000002</v>
      </c>
      <c r="H8" s="657">
        <f>+'10.4-Grants Receivable'!H27</f>
        <v>0</v>
      </c>
      <c r="I8" s="657">
        <f>+'10.4-Grants Receivable'!I27</f>
        <v>-31118.080000000002</v>
      </c>
      <c r="J8" s="657">
        <f>+'10.4-Grants Receivable'!J27</f>
        <v>0</v>
      </c>
      <c r="K8" s="658">
        <f>+'10.4-Grants Receivable'!K27</f>
        <v>0</v>
      </c>
    </row>
    <row r="9" spans="1:14" ht="21" customHeight="1">
      <c r="B9" s="417"/>
      <c r="C9" s="417"/>
      <c r="D9" s="417"/>
      <c r="E9" s="423"/>
      <c r="F9" s="291"/>
      <c r="G9" s="291"/>
      <c r="H9" s="291"/>
      <c r="I9" s="291"/>
      <c r="J9" s="291"/>
      <c r="K9" s="630">
        <f>+F9+G9-H9+I9-J9</f>
        <v>0</v>
      </c>
      <c r="L9" s="204"/>
    </row>
    <row r="10" spans="1:14" ht="21" customHeight="1">
      <c r="B10" s="417"/>
      <c r="C10" s="417"/>
      <c r="D10" s="417"/>
      <c r="E10" s="423"/>
      <c r="F10" s="291"/>
      <c r="G10" s="291"/>
      <c r="H10" s="291"/>
      <c r="I10" s="291"/>
      <c r="J10" s="291"/>
      <c r="K10" s="630">
        <f t="shared" ref="K10:K26" si="0">+F10+G10-H10+I10-J10</f>
        <v>0</v>
      </c>
      <c r="N10" s="294"/>
    </row>
    <row r="11" spans="1:14" ht="21" customHeight="1">
      <c r="B11" s="417"/>
      <c r="C11" s="417"/>
      <c r="D11" s="417"/>
      <c r="E11" s="423"/>
      <c r="F11" s="291"/>
      <c r="G11" s="291"/>
      <c r="H11" s="291"/>
      <c r="I11" s="291"/>
      <c r="J11" s="291"/>
      <c r="K11" s="630">
        <f t="shared" si="0"/>
        <v>0</v>
      </c>
      <c r="L11" s="204"/>
    </row>
    <row r="12" spans="1:14" ht="21" customHeight="1">
      <c r="B12" s="417"/>
      <c r="C12" s="427"/>
      <c r="D12" s="417"/>
      <c r="E12" s="423"/>
      <c r="F12" s="291"/>
      <c r="G12" s="291"/>
      <c r="H12" s="291"/>
      <c r="I12" s="291"/>
      <c r="J12" s="291"/>
      <c r="K12" s="630">
        <f t="shared" si="0"/>
        <v>0</v>
      </c>
    </row>
    <row r="13" spans="1:14" ht="21" customHeight="1">
      <c r="B13" s="417"/>
      <c r="C13" s="427"/>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195" t="s">
        <v>3268</v>
      </c>
      <c r="B15" s="417"/>
      <c r="C15" s="418"/>
      <c r="D15" s="417"/>
      <c r="E15" s="423"/>
      <c r="F15" s="291"/>
      <c r="G15" s="291"/>
      <c r="H15" s="291"/>
      <c r="I15" s="291"/>
      <c r="J15" s="291"/>
      <c r="K15" s="630">
        <f t="shared" si="0"/>
        <v>0</v>
      </c>
    </row>
    <row r="16" spans="1:14" ht="21" customHeight="1">
      <c r="A16" s="1195"/>
      <c r="B16" s="417"/>
      <c r="C16" s="418"/>
      <c r="D16" s="417"/>
      <c r="E16" s="423"/>
      <c r="F16" s="291"/>
      <c r="G16" s="291"/>
      <c r="H16" s="291"/>
      <c r="I16" s="291"/>
      <c r="J16" s="291"/>
      <c r="K16" s="630">
        <f t="shared" si="0"/>
        <v>0</v>
      </c>
    </row>
    <row r="17" spans="1:12" ht="21" customHeight="1">
      <c r="A17" s="1195"/>
      <c r="B17" s="417"/>
      <c r="C17" s="418"/>
      <c r="D17" s="417"/>
      <c r="E17" s="423"/>
      <c r="F17" s="291"/>
      <c r="G17" s="291"/>
      <c r="H17" s="291"/>
      <c r="I17" s="291"/>
      <c r="J17" s="291"/>
      <c r="K17" s="630">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3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30">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row>
    <row r="25" spans="1:12" ht="21" customHeight="1">
      <c r="B25" s="417"/>
      <c r="C25" s="417"/>
      <c r="D25" s="417"/>
      <c r="E25" s="423"/>
      <c r="F25" s="291"/>
      <c r="G25" s="291"/>
      <c r="H25" s="291"/>
      <c r="I25" s="291"/>
      <c r="J25" s="291"/>
      <c r="K25" s="630">
        <f t="shared" si="0"/>
        <v>0</v>
      </c>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640">
        <f t="shared" si="1"/>
        <v>0</v>
      </c>
    </row>
    <row r="28" spans="1:12" ht="13.8" thickTop="1"/>
    <row r="29" spans="1:12">
      <c r="K29" s="204">
        <f>F27+G27-H27+I27-K27-J27</f>
        <v>0</v>
      </c>
    </row>
    <row r="30" spans="1:12">
      <c r="F30" s="204"/>
      <c r="G30" s="204"/>
      <c r="K30" s="204"/>
      <c r="L30" s="204"/>
    </row>
    <row r="31" spans="1:12">
      <c r="K31" s="204">
        <f>+F27+G27-H27-I27-J27-K27</f>
        <v>62236.160000000003</v>
      </c>
    </row>
    <row r="32" spans="1:12">
      <c r="G32" s="204"/>
    </row>
  </sheetData>
  <sheetProtection algorithmName="SHA-512" hashValue="GxaLgMdP86/e+XfkBTZSEKN/jcK0F7iTzjHTTkjZcUCClktU5jmDQkVIo5pduZVQw1xUyWeQ7HyLfB8UZSMyKA==" saltValue="wPgQLgkwESE6PNVs9dLcDQ=="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C6DFB-F7E5-4830-ACE8-BD1452F42C80}">
  <sheetPr codeName="Sheet41"/>
  <dimension ref="A2:N32"/>
  <sheetViews>
    <sheetView zoomScaleNormal="100" workbookViewId="0">
      <selection activeCell="G5" sqref="G5"/>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599" t="s">
        <v>3263</v>
      </c>
      <c r="C8" s="599"/>
      <c r="D8" s="599"/>
      <c r="E8" s="600"/>
      <c r="F8" s="591">
        <f>+'10.5-Grants Receivable'!F27</f>
        <v>0</v>
      </c>
      <c r="G8" s="591">
        <f>+'10.5-Grants Receivable'!G27</f>
        <v>31118.080000000002</v>
      </c>
      <c r="H8" s="591">
        <f>+'10.5-Grants Receivable'!H27</f>
        <v>0</v>
      </c>
      <c r="I8" s="591">
        <f>+'10.5-Grants Receivable'!I27</f>
        <v>-31118.080000000002</v>
      </c>
      <c r="J8" s="591">
        <f>+'10.5-Grants Receivable'!J27</f>
        <v>0</v>
      </c>
      <c r="K8" s="658">
        <f>+'10.5-Grants Receivable'!K27</f>
        <v>0</v>
      </c>
    </row>
    <row r="9" spans="1:14" ht="21" customHeight="1">
      <c r="B9" s="417"/>
      <c r="C9" s="417"/>
      <c r="D9" s="417"/>
      <c r="E9" s="423"/>
      <c r="F9" s="291"/>
      <c r="G9" s="291"/>
      <c r="H9" s="291"/>
      <c r="I9" s="291"/>
      <c r="J9" s="291"/>
      <c r="K9" s="425">
        <f>+F9+G9-H9+I9-J9</f>
        <v>0</v>
      </c>
      <c r="L9" s="204"/>
    </row>
    <row r="10" spans="1:14" ht="21" customHeight="1">
      <c r="B10" s="417"/>
      <c r="C10" s="417"/>
      <c r="D10" s="417"/>
      <c r="E10" s="423"/>
      <c r="F10" s="291"/>
      <c r="G10" s="291"/>
      <c r="H10" s="291"/>
      <c r="I10" s="291"/>
      <c r="J10" s="291"/>
      <c r="K10" s="425">
        <f t="shared" ref="K10:K26" si="0">+F10+G10-H10+I10-J10</f>
        <v>0</v>
      </c>
      <c r="N10" s="294"/>
    </row>
    <row r="11" spans="1:14" ht="21" customHeight="1">
      <c r="B11" s="417"/>
      <c r="C11" s="417"/>
      <c r="D11" s="417"/>
      <c r="E11" s="423"/>
      <c r="F11" s="291"/>
      <c r="G11" s="291"/>
      <c r="H11" s="291"/>
      <c r="I11" s="291"/>
      <c r="J11" s="291"/>
      <c r="K11" s="425">
        <f t="shared" si="0"/>
        <v>0</v>
      </c>
      <c r="L11" s="204"/>
    </row>
    <row r="12" spans="1:14" ht="21" customHeight="1">
      <c r="B12" s="417"/>
      <c r="C12" s="427"/>
      <c r="D12" s="417"/>
      <c r="E12" s="423"/>
      <c r="F12" s="291"/>
      <c r="G12" s="291"/>
      <c r="H12" s="291"/>
      <c r="I12" s="291"/>
      <c r="J12" s="291"/>
      <c r="K12" s="425">
        <f t="shared" si="0"/>
        <v>0</v>
      </c>
    </row>
    <row r="13" spans="1:14" ht="21" customHeight="1">
      <c r="B13" s="417"/>
      <c r="C13" s="427"/>
      <c r="D13" s="417"/>
      <c r="E13" s="423"/>
      <c r="F13" s="291"/>
      <c r="G13" s="291"/>
      <c r="H13" s="291"/>
      <c r="I13" s="291"/>
      <c r="J13" s="291"/>
      <c r="K13" s="425">
        <f t="shared" si="0"/>
        <v>0</v>
      </c>
    </row>
    <row r="14" spans="1:14" ht="21" customHeight="1">
      <c r="B14" s="417"/>
      <c r="C14" s="417"/>
      <c r="D14" s="417"/>
      <c r="E14" s="423"/>
      <c r="F14" s="291"/>
      <c r="G14" s="291"/>
      <c r="H14" s="291"/>
      <c r="I14" s="291"/>
      <c r="J14" s="291"/>
      <c r="K14" s="425">
        <f t="shared" si="0"/>
        <v>0</v>
      </c>
    </row>
    <row r="15" spans="1:14" ht="21" customHeight="1">
      <c r="A15" s="1195" t="s">
        <v>3269</v>
      </c>
      <c r="B15" s="417"/>
      <c r="C15" s="418"/>
      <c r="D15" s="417"/>
      <c r="E15" s="423"/>
      <c r="F15" s="291"/>
      <c r="G15" s="291"/>
      <c r="H15" s="291"/>
      <c r="I15" s="291"/>
      <c r="J15" s="291"/>
      <c r="K15" s="425">
        <f t="shared" si="0"/>
        <v>0</v>
      </c>
    </row>
    <row r="16" spans="1:14" ht="21" customHeight="1">
      <c r="A16" s="1195"/>
      <c r="B16" s="417"/>
      <c r="C16" s="418"/>
      <c r="D16" s="417"/>
      <c r="E16" s="423"/>
      <c r="F16" s="291"/>
      <c r="G16" s="291"/>
      <c r="H16" s="291"/>
      <c r="I16" s="291"/>
      <c r="J16" s="291"/>
      <c r="K16" s="425">
        <f t="shared" si="0"/>
        <v>0</v>
      </c>
    </row>
    <row r="17" spans="1:12" ht="21" customHeight="1">
      <c r="A17" s="1195"/>
      <c r="B17" s="417"/>
      <c r="C17" s="418"/>
      <c r="D17" s="417"/>
      <c r="E17" s="423"/>
      <c r="F17" s="291"/>
      <c r="G17" s="291"/>
      <c r="H17" s="291"/>
      <c r="I17" s="291"/>
      <c r="J17" s="291"/>
      <c r="K17" s="425">
        <f t="shared" si="0"/>
        <v>0</v>
      </c>
    </row>
    <row r="18" spans="1:12" ht="21" customHeight="1">
      <c r="B18" s="417"/>
      <c r="C18" s="418"/>
      <c r="D18" s="417"/>
      <c r="E18" s="423"/>
      <c r="F18" s="291"/>
      <c r="G18" s="291"/>
      <c r="H18" s="291"/>
      <c r="I18" s="291"/>
      <c r="J18" s="291"/>
      <c r="K18" s="425">
        <f t="shared" si="0"/>
        <v>0</v>
      </c>
    </row>
    <row r="19" spans="1:12" ht="21" customHeight="1">
      <c r="B19" s="417"/>
      <c r="C19" s="418"/>
      <c r="D19" s="417"/>
      <c r="E19" s="423"/>
      <c r="F19" s="291"/>
      <c r="G19" s="291"/>
      <c r="H19" s="291"/>
      <c r="I19" s="291"/>
      <c r="J19" s="291"/>
      <c r="K19" s="425">
        <f t="shared" si="0"/>
        <v>0</v>
      </c>
    </row>
    <row r="20" spans="1:12" ht="21" customHeight="1">
      <c r="B20" s="417"/>
      <c r="C20" s="417"/>
      <c r="D20" s="417"/>
      <c r="E20" s="423"/>
      <c r="F20" s="291"/>
      <c r="G20" s="291"/>
      <c r="H20" s="291"/>
      <c r="I20" s="291"/>
      <c r="J20" s="291"/>
      <c r="K20" s="425">
        <f t="shared" si="0"/>
        <v>0</v>
      </c>
    </row>
    <row r="21" spans="1:12" ht="21" customHeight="1">
      <c r="B21" s="417"/>
      <c r="C21" s="417"/>
      <c r="D21" s="417"/>
      <c r="E21" s="423"/>
      <c r="F21" s="291"/>
      <c r="G21" s="291"/>
      <c r="H21" s="291"/>
      <c r="I21" s="291"/>
      <c r="J21" s="291"/>
      <c r="K21" s="425">
        <f t="shared" si="0"/>
        <v>0</v>
      </c>
    </row>
    <row r="22" spans="1:12" ht="21" customHeight="1">
      <c r="B22" s="417"/>
      <c r="C22" s="417"/>
      <c r="D22" s="417"/>
      <c r="E22" s="423"/>
      <c r="F22" s="291"/>
      <c r="G22" s="291"/>
      <c r="H22" s="291"/>
      <c r="I22" s="291"/>
      <c r="J22" s="291"/>
      <c r="K22" s="425">
        <f t="shared" si="0"/>
        <v>0</v>
      </c>
    </row>
    <row r="23" spans="1:12" ht="21" customHeight="1">
      <c r="B23" s="417"/>
      <c r="C23" s="417"/>
      <c r="D23" s="417"/>
      <c r="E23" s="423"/>
      <c r="F23" s="291"/>
      <c r="G23" s="291"/>
      <c r="H23" s="291"/>
      <c r="I23" s="291"/>
      <c r="J23" s="291"/>
      <c r="K23" s="425">
        <f t="shared" si="0"/>
        <v>0</v>
      </c>
    </row>
    <row r="24" spans="1:12" ht="21" customHeight="1">
      <c r="B24" s="417"/>
      <c r="C24" s="417"/>
      <c r="D24" s="417"/>
      <c r="E24" s="423"/>
      <c r="F24" s="291"/>
      <c r="G24" s="291"/>
      <c r="H24" s="291"/>
      <c r="I24" s="291"/>
      <c r="J24" s="291"/>
      <c r="K24" s="425">
        <f t="shared" si="0"/>
        <v>0</v>
      </c>
    </row>
    <row r="25" spans="1:12" ht="21" customHeight="1">
      <c r="B25" s="417"/>
      <c r="C25" s="417"/>
      <c r="D25" s="417"/>
      <c r="E25" s="423"/>
      <c r="F25" s="291"/>
      <c r="G25" s="291"/>
      <c r="H25" s="291"/>
      <c r="I25" s="291"/>
      <c r="J25" s="291"/>
      <c r="K25" s="425">
        <f t="shared" si="0"/>
        <v>0</v>
      </c>
    </row>
    <row r="26" spans="1:12" ht="21" customHeight="1">
      <c r="B26" s="417"/>
      <c r="C26" s="417"/>
      <c r="D26" s="417"/>
      <c r="E26" s="423"/>
      <c r="F26" s="291"/>
      <c r="G26" s="291"/>
      <c r="H26" s="291"/>
      <c r="I26" s="291"/>
      <c r="J26" s="291"/>
      <c r="K26" s="425">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128">
        <f t="shared" si="1"/>
        <v>0</v>
      </c>
    </row>
    <row r="28" spans="1:12" ht="13.8" thickTop="1"/>
    <row r="29" spans="1:12">
      <c r="K29" s="204">
        <f>F27+G27-H27+I27-K27-J27</f>
        <v>0</v>
      </c>
    </row>
    <row r="30" spans="1:12">
      <c r="F30" s="204"/>
      <c r="G30" s="204"/>
      <c r="K30" s="204"/>
      <c r="L30" s="204"/>
    </row>
    <row r="31" spans="1:12">
      <c r="K31" s="204">
        <f>+F27+G27-H27-I27-J27-K27</f>
        <v>62236.160000000003</v>
      </c>
    </row>
    <row r="32" spans="1:12">
      <c r="G32" s="204"/>
    </row>
  </sheetData>
  <sheetProtection algorithmName="SHA-512" hashValue="WUSXEAh5RooajTPYhijw7GeCIahxMitvcHoKeJUMnbsiZxgtJUtJJJ6urgFl3dL/tDuM+MhhqRQYMep7z4AAow==" saltValue="gw8QUi6sfnfwCWb/3FRwB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6981B-5B9B-4AFC-A730-C4FEB46E4D69}">
  <sheetPr codeName="Sheet42"/>
  <dimension ref="A2:N32"/>
  <sheetViews>
    <sheetView zoomScaleNormal="100" workbookViewId="0">
      <selection activeCell="G5" sqref="G5"/>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22" t="s">
        <v>3263</v>
      </c>
      <c r="C8" s="22"/>
      <c r="D8" s="22"/>
      <c r="E8" s="23"/>
      <c r="F8" s="657">
        <f>+'10.6-Grants Receivable'!F27</f>
        <v>0</v>
      </c>
      <c r="G8" s="657">
        <f>+'10.6-Grants Receivable'!G27</f>
        <v>31118.080000000002</v>
      </c>
      <c r="H8" s="657">
        <f>+'10.6-Grants Receivable'!H27</f>
        <v>0</v>
      </c>
      <c r="I8" s="657">
        <f>+'10.6-Grants Receivable'!I27</f>
        <v>-31118.080000000002</v>
      </c>
      <c r="J8" s="657">
        <f>+'10.6-Grants Receivable'!J27</f>
        <v>0</v>
      </c>
      <c r="K8" s="658">
        <f>+'10.6-Grants Receivable'!K27</f>
        <v>0</v>
      </c>
    </row>
    <row r="9" spans="1:14" ht="21" customHeight="1">
      <c r="B9" s="417"/>
      <c r="C9" s="417"/>
      <c r="D9" s="417"/>
      <c r="E9" s="423"/>
      <c r="F9" s="291"/>
      <c r="G9" s="291"/>
      <c r="H9" s="291"/>
      <c r="I9" s="291"/>
      <c r="J9" s="291"/>
      <c r="K9" s="630">
        <f>+F9+G9-H9+I9-J9</f>
        <v>0</v>
      </c>
      <c r="L9" s="204"/>
    </row>
    <row r="10" spans="1:14" ht="21" customHeight="1">
      <c r="B10" s="417"/>
      <c r="C10" s="417"/>
      <c r="D10" s="417"/>
      <c r="E10" s="423"/>
      <c r="F10" s="291"/>
      <c r="G10" s="291"/>
      <c r="H10" s="291"/>
      <c r="I10" s="291"/>
      <c r="J10" s="291"/>
      <c r="K10" s="630">
        <f t="shared" ref="K10:K26" si="0">+F10+G10-H10+I10-J10</f>
        <v>0</v>
      </c>
      <c r="N10" s="294"/>
    </row>
    <row r="11" spans="1:14" ht="21" customHeight="1">
      <c r="B11" s="417"/>
      <c r="C11" s="417"/>
      <c r="D11" s="417"/>
      <c r="E11" s="423"/>
      <c r="F11" s="291"/>
      <c r="G11" s="291"/>
      <c r="H11" s="291"/>
      <c r="I11" s="291"/>
      <c r="J11" s="291"/>
      <c r="K11" s="630">
        <f t="shared" si="0"/>
        <v>0</v>
      </c>
      <c r="L11" s="204"/>
    </row>
    <row r="12" spans="1:14" ht="21" customHeight="1">
      <c r="B12" s="417"/>
      <c r="C12" s="427"/>
      <c r="D12" s="417"/>
      <c r="E12" s="423"/>
      <c r="F12" s="291"/>
      <c r="G12" s="291"/>
      <c r="H12" s="291"/>
      <c r="I12" s="291"/>
      <c r="J12" s="291"/>
      <c r="K12" s="630">
        <f t="shared" si="0"/>
        <v>0</v>
      </c>
    </row>
    <row r="13" spans="1:14" ht="21" customHeight="1">
      <c r="B13" s="417"/>
      <c r="C13" s="427"/>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195" t="s">
        <v>3270</v>
      </c>
      <c r="B15" s="417"/>
      <c r="C15" s="418"/>
      <c r="D15" s="417"/>
      <c r="E15" s="423"/>
      <c r="F15" s="291"/>
      <c r="G15" s="291"/>
      <c r="H15" s="291"/>
      <c r="I15" s="291"/>
      <c r="J15" s="291"/>
      <c r="K15" s="630">
        <f t="shared" si="0"/>
        <v>0</v>
      </c>
    </row>
    <row r="16" spans="1:14" ht="21" customHeight="1">
      <c r="A16" s="1195"/>
      <c r="B16" s="417"/>
      <c r="C16" s="418"/>
      <c r="D16" s="417"/>
      <c r="E16" s="423"/>
      <c r="F16" s="291"/>
      <c r="G16" s="291"/>
      <c r="H16" s="291"/>
      <c r="I16" s="291"/>
      <c r="J16" s="291"/>
      <c r="K16" s="630">
        <f t="shared" si="0"/>
        <v>0</v>
      </c>
    </row>
    <row r="17" spans="1:12" ht="21" customHeight="1">
      <c r="A17" s="1195"/>
      <c r="B17" s="417"/>
      <c r="C17" s="418"/>
      <c r="D17" s="417"/>
      <c r="E17" s="423"/>
      <c r="F17" s="291"/>
      <c r="G17" s="291"/>
      <c r="H17" s="291"/>
      <c r="I17" s="291"/>
      <c r="J17" s="291"/>
      <c r="K17" s="630">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3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30">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row>
    <row r="25" spans="1:12" ht="21" customHeight="1">
      <c r="B25" s="417"/>
      <c r="C25" s="417"/>
      <c r="D25" s="417"/>
      <c r="E25" s="423"/>
      <c r="F25" s="291"/>
      <c r="G25" s="291"/>
      <c r="H25" s="291"/>
      <c r="I25" s="291"/>
      <c r="J25" s="291"/>
      <c r="K25" s="630">
        <f t="shared" si="0"/>
        <v>0</v>
      </c>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640">
        <f t="shared" si="1"/>
        <v>0</v>
      </c>
    </row>
    <row r="28" spans="1:12" ht="13.8" thickTop="1"/>
    <row r="29" spans="1:12">
      <c r="K29" s="204">
        <f>F27+G27-H27+I27-K27-J27</f>
        <v>0</v>
      </c>
    </row>
    <row r="30" spans="1:12">
      <c r="F30" s="204"/>
      <c r="G30" s="204"/>
      <c r="K30" s="204"/>
      <c r="L30" s="204"/>
    </row>
    <row r="31" spans="1:12">
      <c r="K31" s="204">
        <f>+F27+G27-H27-I27-J27-K27</f>
        <v>62236.160000000003</v>
      </c>
    </row>
    <row r="32" spans="1:12">
      <c r="G32" s="204"/>
    </row>
  </sheetData>
  <sheetProtection algorithmName="SHA-512" hashValue="gbOxKXRLPILaRvP2Qpmc7AJ9UMIty7wFrrQJchP+tE8ygT1IEJc/ELLpHEqDQKvwCsry7zWD16dl467KFD8pYw==" saltValue="cXjZuoszsWIePiZTNsIu5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F7D8E-9758-4EBF-ADAF-37C6D5F8DB31}">
  <sheetPr codeName="Sheet43"/>
  <dimension ref="A2:N32"/>
  <sheetViews>
    <sheetView zoomScaleNormal="100" workbookViewId="0">
      <selection activeCell="G5" sqref="G5"/>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22" t="s">
        <v>3263</v>
      </c>
      <c r="C8" s="22"/>
      <c r="D8" s="22"/>
      <c r="E8" s="23"/>
      <c r="F8" s="657">
        <f>+'10.7-Grants Receivable'!F27</f>
        <v>0</v>
      </c>
      <c r="G8" s="657">
        <f>+'10.7-Grants Receivable'!G27</f>
        <v>31118.080000000002</v>
      </c>
      <c r="H8" s="657">
        <f>+'10.7-Grants Receivable'!H27</f>
        <v>0</v>
      </c>
      <c r="I8" s="657">
        <f>+'10.7-Grants Receivable'!I27</f>
        <v>-31118.080000000002</v>
      </c>
      <c r="J8" s="657">
        <f>+'10.7-Grants Receivable'!J27</f>
        <v>0</v>
      </c>
      <c r="K8" s="658">
        <f>+'10.7-Grants Receivable'!K27</f>
        <v>0</v>
      </c>
    </row>
    <row r="9" spans="1:14" ht="21" customHeight="1">
      <c r="B9" s="417"/>
      <c r="C9" s="417"/>
      <c r="D9" s="417"/>
      <c r="E9" s="423"/>
      <c r="F9" s="291"/>
      <c r="G9" s="291"/>
      <c r="H9" s="291"/>
      <c r="I9" s="291"/>
      <c r="J9" s="291"/>
      <c r="K9" s="630">
        <f>+F9+G9-H9+I9-J9</f>
        <v>0</v>
      </c>
      <c r="L9" s="204"/>
    </row>
    <row r="10" spans="1:14" ht="21" customHeight="1">
      <c r="B10" s="417"/>
      <c r="C10" s="417"/>
      <c r="D10" s="417"/>
      <c r="E10" s="423"/>
      <c r="F10" s="291"/>
      <c r="G10" s="291"/>
      <c r="H10" s="291"/>
      <c r="I10" s="291"/>
      <c r="J10" s="291"/>
      <c r="K10" s="630">
        <f t="shared" ref="K10:K26" si="0">+F10+G10-H10+I10-J10</f>
        <v>0</v>
      </c>
      <c r="N10" s="294"/>
    </row>
    <row r="11" spans="1:14" ht="21" customHeight="1">
      <c r="B11" s="417"/>
      <c r="C11" s="417"/>
      <c r="D11" s="417"/>
      <c r="E11" s="423"/>
      <c r="F11" s="291"/>
      <c r="G11" s="291"/>
      <c r="H11" s="291"/>
      <c r="I11" s="291"/>
      <c r="J11" s="291"/>
      <c r="K11" s="630">
        <f t="shared" si="0"/>
        <v>0</v>
      </c>
      <c r="L11" s="204"/>
    </row>
    <row r="12" spans="1:14" ht="21" customHeight="1">
      <c r="B12" s="417"/>
      <c r="C12" s="427"/>
      <c r="D12" s="417"/>
      <c r="E12" s="423"/>
      <c r="F12" s="291"/>
      <c r="G12" s="291"/>
      <c r="H12" s="291"/>
      <c r="I12" s="291"/>
      <c r="J12" s="291"/>
      <c r="K12" s="630">
        <f t="shared" si="0"/>
        <v>0</v>
      </c>
    </row>
    <row r="13" spans="1:14" ht="21" customHeight="1">
      <c r="B13" s="417"/>
      <c r="C13" s="427"/>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195" t="s">
        <v>3272</v>
      </c>
      <c r="B15" s="417"/>
      <c r="C15" s="418"/>
      <c r="D15" s="417"/>
      <c r="E15" s="423"/>
      <c r="F15" s="291"/>
      <c r="G15" s="291"/>
      <c r="H15" s="291"/>
      <c r="I15" s="291"/>
      <c r="J15" s="291"/>
      <c r="K15" s="630">
        <f t="shared" si="0"/>
        <v>0</v>
      </c>
    </row>
    <row r="16" spans="1:14" ht="21" customHeight="1">
      <c r="A16" s="1195"/>
      <c r="B16" s="417"/>
      <c r="C16" s="418"/>
      <c r="D16" s="417"/>
      <c r="E16" s="423"/>
      <c r="F16" s="291"/>
      <c r="G16" s="291"/>
      <c r="H16" s="291"/>
      <c r="I16" s="291"/>
      <c r="J16" s="291"/>
      <c r="K16" s="630">
        <f t="shared" si="0"/>
        <v>0</v>
      </c>
    </row>
    <row r="17" spans="1:12" ht="21" customHeight="1">
      <c r="A17" s="1195"/>
      <c r="B17" s="417"/>
      <c r="C17" s="418"/>
      <c r="D17" s="417"/>
      <c r="E17" s="423"/>
      <c r="F17" s="291"/>
      <c r="G17" s="291"/>
      <c r="H17" s="291"/>
      <c r="I17" s="291"/>
      <c r="J17" s="291"/>
      <c r="K17" s="630">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3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30">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row>
    <row r="25" spans="1:12" ht="21" customHeight="1">
      <c r="B25" s="417"/>
      <c r="C25" s="417"/>
      <c r="D25" s="417"/>
      <c r="E25" s="423"/>
      <c r="F25" s="291"/>
      <c r="G25" s="291"/>
      <c r="H25" s="291"/>
      <c r="I25" s="291"/>
      <c r="J25" s="291"/>
      <c r="K25" s="630">
        <f t="shared" si="0"/>
        <v>0</v>
      </c>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640">
        <f t="shared" si="1"/>
        <v>0</v>
      </c>
    </row>
    <row r="28" spans="1:12" ht="13.8" thickTop="1"/>
    <row r="29" spans="1:12">
      <c r="K29" s="204">
        <f>F27+G27-H27+I27-K27-J27</f>
        <v>0</v>
      </c>
    </row>
    <row r="30" spans="1:12">
      <c r="F30" s="204"/>
      <c r="G30" s="204"/>
      <c r="K30" s="204"/>
      <c r="L30" s="204"/>
    </row>
    <row r="31" spans="1:12">
      <c r="K31" s="204">
        <f>+F27+G27-H27-I27-J27-K27</f>
        <v>62236.160000000003</v>
      </c>
    </row>
    <row r="32" spans="1:12">
      <c r="G32" s="204"/>
    </row>
  </sheetData>
  <sheetProtection algorithmName="SHA-512" hashValue="yw3782E9opd2Hf/kzfX0R8HX0ee6amZ6IkNhTJeEXKn55LA7pc0ZA+53EKYMxMQjArGSOOBabwC+CBCyvTwnyw==" saltValue="eNfzrX+FQn0AL9c4STFu+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66A91-70CA-4B32-86CF-95F10A885CB9}">
  <sheetPr codeName="Sheet44"/>
  <dimension ref="A2:N32"/>
  <sheetViews>
    <sheetView zoomScaleNormal="100" workbookViewId="0">
      <selection activeCell="G5" sqref="G5"/>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22" t="s">
        <v>3263</v>
      </c>
      <c r="C8" s="22"/>
      <c r="D8" s="22"/>
      <c r="E8" s="23"/>
      <c r="F8" s="657">
        <f>+'10.8-Grants Receivable'!F27</f>
        <v>0</v>
      </c>
      <c r="G8" s="657">
        <f>+'10.8-Grants Receivable'!G27</f>
        <v>31118.080000000002</v>
      </c>
      <c r="H8" s="657">
        <f>+'10.8-Grants Receivable'!H27</f>
        <v>0</v>
      </c>
      <c r="I8" s="657">
        <f>+'10.8-Grants Receivable'!I27</f>
        <v>-31118.080000000002</v>
      </c>
      <c r="J8" s="657">
        <f>+'10.8-Grants Receivable'!J27</f>
        <v>0</v>
      </c>
      <c r="K8" s="658">
        <f>+'10.8-Grants Receivable'!K27</f>
        <v>0</v>
      </c>
    </row>
    <row r="9" spans="1:14" ht="21" customHeight="1">
      <c r="B9" s="417"/>
      <c r="C9" s="417"/>
      <c r="D9" s="417"/>
      <c r="E9" s="423"/>
      <c r="F9" s="291"/>
      <c r="G9" s="291"/>
      <c r="H9" s="291"/>
      <c r="I9" s="291"/>
      <c r="J9" s="291"/>
      <c r="K9" s="630">
        <f t="shared" ref="K9:K26" si="0">+F9+G9-H9+I9-J9</f>
        <v>0</v>
      </c>
      <c r="L9" s="204"/>
    </row>
    <row r="10" spans="1:14" ht="21" customHeight="1">
      <c r="B10" s="417"/>
      <c r="C10" s="417"/>
      <c r="D10" s="417"/>
      <c r="E10" s="423"/>
      <c r="F10" s="291"/>
      <c r="G10" s="291"/>
      <c r="H10" s="291"/>
      <c r="I10" s="291"/>
      <c r="J10" s="291"/>
      <c r="K10" s="630">
        <f t="shared" si="0"/>
        <v>0</v>
      </c>
      <c r="N10" s="294"/>
    </row>
    <row r="11" spans="1:14" ht="21" customHeight="1">
      <c r="B11" s="417"/>
      <c r="C11" s="417"/>
      <c r="D11" s="417"/>
      <c r="E11" s="423"/>
      <c r="F11" s="291"/>
      <c r="G11" s="291"/>
      <c r="H11" s="291"/>
      <c r="I11" s="291"/>
      <c r="J11" s="291"/>
      <c r="K11" s="630">
        <f t="shared" si="0"/>
        <v>0</v>
      </c>
      <c r="L11" s="204"/>
    </row>
    <row r="12" spans="1:14" ht="21" customHeight="1">
      <c r="B12" s="417"/>
      <c r="C12" s="427"/>
      <c r="D12" s="417"/>
      <c r="E12" s="423"/>
      <c r="F12" s="291"/>
      <c r="G12" s="291"/>
      <c r="H12" s="291"/>
      <c r="I12" s="291"/>
      <c r="J12" s="291"/>
      <c r="K12" s="630">
        <f t="shared" si="0"/>
        <v>0</v>
      </c>
    </row>
    <row r="13" spans="1:14" ht="21" customHeight="1">
      <c r="B13" s="417"/>
      <c r="C13" s="427"/>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195" t="s">
        <v>3271</v>
      </c>
      <c r="B15" s="417"/>
      <c r="C15" s="418"/>
      <c r="D15" s="417"/>
      <c r="E15" s="423"/>
      <c r="F15" s="291"/>
      <c r="G15" s="291"/>
      <c r="H15" s="291"/>
      <c r="I15" s="291"/>
      <c r="J15" s="291"/>
      <c r="K15" s="630">
        <f t="shared" si="0"/>
        <v>0</v>
      </c>
    </row>
    <row r="16" spans="1:14" ht="21" customHeight="1">
      <c r="A16" s="1195"/>
      <c r="B16" s="417"/>
      <c r="C16" s="418"/>
      <c r="D16" s="417"/>
      <c r="E16" s="423"/>
      <c r="F16" s="291"/>
      <c r="G16" s="291"/>
      <c r="H16" s="291"/>
      <c r="I16" s="291"/>
      <c r="J16" s="291"/>
      <c r="K16" s="630">
        <f t="shared" si="0"/>
        <v>0</v>
      </c>
    </row>
    <row r="17" spans="1:12" ht="21" customHeight="1">
      <c r="A17" s="1195"/>
      <c r="B17" s="417"/>
      <c r="C17" s="418"/>
      <c r="D17" s="417"/>
      <c r="E17" s="423"/>
      <c r="F17" s="291"/>
      <c r="G17" s="291"/>
      <c r="H17" s="291"/>
      <c r="I17" s="291"/>
      <c r="J17" s="291"/>
      <c r="K17" s="630">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3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30">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row>
    <row r="25" spans="1:12" ht="21" customHeight="1">
      <c r="B25" s="417"/>
      <c r="C25" s="417"/>
      <c r="D25" s="417"/>
      <c r="E25" s="423"/>
      <c r="F25" s="291"/>
      <c r="G25" s="291"/>
      <c r="H25" s="291"/>
      <c r="I25" s="291"/>
      <c r="J25" s="291"/>
      <c r="K25" s="630">
        <f t="shared" si="0"/>
        <v>0</v>
      </c>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640">
        <f t="shared" si="1"/>
        <v>0</v>
      </c>
    </row>
    <row r="28" spans="1:12" ht="13.8" thickTop="1"/>
    <row r="29" spans="1:12">
      <c r="K29" s="204">
        <f>F27+G27-H27+I27-K27-J27</f>
        <v>0</v>
      </c>
    </row>
    <row r="30" spans="1:12">
      <c r="F30" s="204"/>
      <c r="G30" s="204"/>
      <c r="K30" s="204"/>
      <c r="L30" s="204"/>
    </row>
    <row r="31" spans="1:12">
      <c r="K31" s="204">
        <f>+F27+G27-H27-I27-J27-K27</f>
        <v>62236.160000000003</v>
      </c>
    </row>
    <row r="32" spans="1:12">
      <c r="G32" s="204"/>
    </row>
  </sheetData>
  <sheetProtection algorithmName="SHA-512" hashValue="Y1qOfnsm3xDAERSpDXnf8vq73HJbAvb6e+V9NTPz3pPcVwb4LQhLVos6job/7LuEX3FRAQT90Sw2LREkhV8n8A==" saltValue="j9x4EZQLTjuNoGuNJ8hzH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A2F2B-2756-442F-ACE9-6673EB8F3E24}">
  <sheetPr codeName="Sheet45"/>
  <dimension ref="A2:N32"/>
  <sheetViews>
    <sheetView zoomScaleNormal="100" workbookViewId="0">
      <selection activeCell="G5" sqref="G5"/>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599" t="s">
        <v>3263</v>
      </c>
      <c r="C8" s="599"/>
      <c r="D8" s="599"/>
      <c r="E8" s="600"/>
      <c r="F8" s="591">
        <f>+'10.9-Grants Receivable'!F27</f>
        <v>0</v>
      </c>
      <c r="G8" s="591">
        <f>+'10.9-Grants Receivable'!G27</f>
        <v>31118.080000000002</v>
      </c>
      <c r="H8" s="591">
        <f>+'10.9-Grants Receivable'!H27</f>
        <v>0</v>
      </c>
      <c r="I8" s="591">
        <f>+'10.9-Grants Receivable'!I27</f>
        <v>-31118.080000000002</v>
      </c>
      <c r="J8" s="591">
        <f>+'10.9-Grants Receivable'!J27</f>
        <v>0</v>
      </c>
      <c r="K8" s="598">
        <f>+'10.9-Grants Receivable'!K27</f>
        <v>0</v>
      </c>
    </row>
    <row r="9" spans="1:14" ht="21" customHeight="1">
      <c r="B9" s="417"/>
      <c r="C9" s="417"/>
      <c r="D9" s="417"/>
      <c r="E9" s="423"/>
      <c r="F9" s="291"/>
      <c r="G9" s="291"/>
      <c r="H9" s="291"/>
      <c r="I9" s="291"/>
      <c r="J9" s="291"/>
      <c r="K9" s="425">
        <f t="shared" ref="K9:K26" si="0">+F9+G9-H9+I9-J9</f>
        <v>0</v>
      </c>
      <c r="L9" s="204"/>
    </row>
    <row r="10" spans="1:14" ht="21" customHeight="1">
      <c r="B10" s="417"/>
      <c r="C10" s="417"/>
      <c r="D10" s="417"/>
      <c r="E10" s="423"/>
      <c r="F10" s="291"/>
      <c r="G10" s="291"/>
      <c r="H10" s="291"/>
      <c r="I10" s="291"/>
      <c r="J10" s="291"/>
      <c r="K10" s="425">
        <f t="shared" si="0"/>
        <v>0</v>
      </c>
      <c r="N10" s="294"/>
    </row>
    <row r="11" spans="1:14" ht="21" customHeight="1">
      <c r="B11" s="417"/>
      <c r="C11" s="417"/>
      <c r="D11" s="417"/>
      <c r="E11" s="423"/>
      <c r="F11" s="291"/>
      <c r="G11" s="291"/>
      <c r="H11" s="291"/>
      <c r="I11" s="291"/>
      <c r="J11" s="291"/>
      <c r="K11" s="425">
        <f t="shared" si="0"/>
        <v>0</v>
      </c>
      <c r="L11" s="204"/>
    </row>
    <row r="12" spans="1:14" ht="21" customHeight="1">
      <c r="B12" s="417"/>
      <c r="C12" s="427"/>
      <c r="D12" s="417"/>
      <c r="E12" s="423"/>
      <c r="F12" s="291"/>
      <c r="G12" s="291"/>
      <c r="H12" s="291"/>
      <c r="I12" s="291"/>
      <c r="J12" s="291"/>
      <c r="K12" s="425">
        <f t="shared" si="0"/>
        <v>0</v>
      </c>
    </row>
    <row r="13" spans="1:14" ht="21" customHeight="1">
      <c r="B13" s="417"/>
      <c r="C13" s="427"/>
      <c r="D13" s="417"/>
      <c r="E13" s="423"/>
      <c r="F13" s="291"/>
      <c r="G13" s="291"/>
      <c r="H13" s="291"/>
      <c r="I13" s="291"/>
      <c r="J13" s="291"/>
      <c r="K13" s="425">
        <f t="shared" si="0"/>
        <v>0</v>
      </c>
    </row>
    <row r="14" spans="1:14" ht="21" customHeight="1">
      <c r="B14" s="417"/>
      <c r="C14" s="417"/>
      <c r="D14" s="417"/>
      <c r="E14" s="423"/>
      <c r="F14" s="291"/>
      <c r="G14" s="291"/>
      <c r="H14" s="291"/>
      <c r="I14" s="291"/>
      <c r="J14" s="291"/>
      <c r="K14" s="425">
        <f t="shared" si="0"/>
        <v>0</v>
      </c>
    </row>
    <row r="15" spans="1:14" ht="21" customHeight="1">
      <c r="A15" s="1195" t="s">
        <v>3273</v>
      </c>
      <c r="B15" s="417"/>
      <c r="C15" s="418"/>
      <c r="D15" s="417"/>
      <c r="E15" s="423"/>
      <c r="F15" s="291"/>
      <c r="G15" s="291"/>
      <c r="H15" s="291"/>
      <c r="I15" s="291"/>
      <c r="J15" s="291"/>
      <c r="K15" s="425">
        <f t="shared" si="0"/>
        <v>0</v>
      </c>
    </row>
    <row r="16" spans="1:14" ht="21" customHeight="1">
      <c r="A16" s="1195"/>
      <c r="B16" s="417"/>
      <c r="C16" s="418"/>
      <c r="D16" s="417"/>
      <c r="E16" s="423"/>
      <c r="F16" s="291"/>
      <c r="G16" s="291"/>
      <c r="H16" s="291"/>
      <c r="I16" s="291"/>
      <c r="J16" s="291"/>
      <c r="K16" s="425">
        <f t="shared" si="0"/>
        <v>0</v>
      </c>
    </row>
    <row r="17" spans="1:12" ht="21" customHeight="1">
      <c r="A17" s="1195"/>
      <c r="B17" s="417"/>
      <c r="C17" s="418"/>
      <c r="D17" s="417"/>
      <c r="E17" s="423"/>
      <c r="F17" s="291"/>
      <c r="G17" s="291"/>
      <c r="H17" s="291"/>
      <c r="I17" s="291"/>
      <c r="J17" s="291"/>
      <c r="K17" s="425">
        <f t="shared" si="0"/>
        <v>0</v>
      </c>
    </row>
    <row r="18" spans="1:12" ht="21" customHeight="1">
      <c r="B18" s="417"/>
      <c r="C18" s="418"/>
      <c r="D18" s="417"/>
      <c r="E18" s="423"/>
      <c r="F18" s="291"/>
      <c r="G18" s="291"/>
      <c r="H18" s="291"/>
      <c r="I18" s="291"/>
      <c r="J18" s="291"/>
      <c r="K18" s="425">
        <f t="shared" si="0"/>
        <v>0</v>
      </c>
    </row>
    <row r="19" spans="1:12" ht="21" customHeight="1">
      <c r="B19" s="417"/>
      <c r="C19" s="418"/>
      <c r="D19" s="417"/>
      <c r="E19" s="423"/>
      <c r="F19" s="291"/>
      <c r="G19" s="291"/>
      <c r="H19" s="291"/>
      <c r="I19" s="291"/>
      <c r="J19" s="291"/>
      <c r="K19" s="425">
        <f t="shared" si="0"/>
        <v>0</v>
      </c>
    </row>
    <row r="20" spans="1:12" ht="21" customHeight="1">
      <c r="B20" s="417"/>
      <c r="C20" s="417"/>
      <c r="D20" s="417"/>
      <c r="E20" s="423"/>
      <c r="F20" s="291"/>
      <c r="G20" s="291"/>
      <c r="H20" s="291"/>
      <c r="I20" s="291"/>
      <c r="J20" s="291"/>
      <c r="K20" s="425">
        <f t="shared" si="0"/>
        <v>0</v>
      </c>
    </row>
    <row r="21" spans="1:12" ht="21" customHeight="1">
      <c r="B21" s="417"/>
      <c r="C21" s="417"/>
      <c r="D21" s="417"/>
      <c r="E21" s="423"/>
      <c r="F21" s="291"/>
      <c r="G21" s="291"/>
      <c r="H21" s="291"/>
      <c r="I21" s="291"/>
      <c r="J21" s="291"/>
      <c r="K21" s="425">
        <f t="shared" si="0"/>
        <v>0</v>
      </c>
    </row>
    <row r="22" spans="1:12" ht="21" customHeight="1">
      <c r="B22" s="417"/>
      <c r="C22" s="417"/>
      <c r="D22" s="417"/>
      <c r="E22" s="423"/>
      <c r="F22" s="291"/>
      <c r="G22" s="291"/>
      <c r="H22" s="291"/>
      <c r="I22" s="291"/>
      <c r="J22" s="291"/>
      <c r="K22" s="425">
        <f t="shared" si="0"/>
        <v>0</v>
      </c>
    </row>
    <row r="23" spans="1:12" ht="21" customHeight="1">
      <c r="B23" s="417"/>
      <c r="C23" s="417"/>
      <c r="D23" s="417"/>
      <c r="E23" s="423"/>
      <c r="F23" s="291"/>
      <c r="G23" s="291"/>
      <c r="H23" s="291"/>
      <c r="I23" s="291"/>
      <c r="J23" s="291"/>
      <c r="K23" s="425">
        <f t="shared" si="0"/>
        <v>0</v>
      </c>
    </row>
    <row r="24" spans="1:12" ht="21" customHeight="1">
      <c r="B24" s="417"/>
      <c r="C24" s="417"/>
      <c r="D24" s="417"/>
      <c r="E24" s="423"/>
      <c r="F24" s="291"/>
      <c r="G24" s="291"/>
      <c r="H24" s="291"/>
      <c r="I24" s="291"/>
      <c r="J24" s="291"/>
      <c r="K24" s="425">
        <f t="shared" si="0"/>
        <v>0</v>
      </c>
    </row>
    <row r="25" spans="1:12" ht="21" customHeight="1">
      <c r="B25" s="417"/>
      <c r="C25" s="417"/>
      <c r="D25" s="417"/>
      <c r="E25" s="423"/>
      <c r="F25" s="291"/>
      <c r="G25" s="291"/>
      <c r="H25" s="291"/>
      <c r="I25" s="291"/>
      <c r="J25" s="291"/>
      <c r="K25" s="425">
        <f t="shared" si="0"/>
        <v>0</v>
      </c>
    </row>
    <row r="26" spans="1:12" ht="21" customHeight="1">
      <c r="B26" s="417"/>
      <c r="C26" s="417"/>
      <c r="D26" s="417"/>
      <c r="E26" s="423"/>
      <c r="F26" s="291"/>
      <c r="G26" s="291"/>
      <c r="H26" s="291"/>
      <c r="I26" s="291"/>
      <c r="J26" s="291"/>
      <c r="K26" s="425">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128">
        <f t="shared" si="1"/>
        <v>0</v>
      </c>
    </row>
    <row r="28" spans="1:12" ht="13.8" thickTop="1"/>
    <row r="29" spans="1:12">
      <c r="K29" s="204">
        <f>F27+G27-H27+I27-K27-J27</f>
        <v>0</v>
      </c>
    </row>
    <row r="30" spans="1:12">
      <c r="F30" s="204"/>
      <c r="G30" s="204"/>
      <c r="K30" s="204"/>
      <c r="L30" s="204"/>
    </row>
    <row r="31" spans="1:12">
      <c r="K31" s="204">
        <f>+F27+G27-H27-I27-J27-K27</f>
        <v>62236.160000000003</v>
      </c>
    </row>
    <row r="32" spans="1:12">
      <c r="G32" s="204"/>
    </row>
  </sheetData>
  <sheetProtection algorithmName="SHA-512" hashValue="Kq9DyijFDszXnLaincjEgxli+qDC2BF/DoYkcSv7qMcGkRXCovMo5fMpMDXzMt3Nh3vQIh/A1slLasn5VWTnJw==" saltValue="mpAsrdt07sYpu8jkwKkAjQ=="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9AD8B-1910-4D64-9C75-3A3A3D7ED63F}">
  <sheetPr codeName="Sheet46"/>
  <dimension ref="A2:N32"/>
  <sheetViews>
    <sheetView zoomScaleNormal="100" workbookViewId="0">
      <selection activeCell="G5" sqref="G5"/>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599" t="s">
        <v>3263</v>
      </c>
      <c r="C8" s="599"/>
      <c r="D8" s="599"/>
      <c r="E8" s="600"/>
      <c r="F8" s="591">
        <f>+'10.10-Grants Receivable'!F27</f>
        <v>0</v>
      </c>
      <c r="G8" s="591">
        <f>+'10.10-Grants Receivable'!G27</f>
        <v>31118.080000000002</v>
      </c>
      <c r="H8" s="591">
        <f>+'10.10-Grants Receivable'!H27</f>
        <v>0</v>
      </c>
      <c r="I8" s="591">
        <f>+'10.10-Grants Receivable'!I27</f>
        <v>-31118.080000000002</v>
      </c>
      <c r="J8" s="591">
        <f>+'10.10-Grants Receivable'!J27</f>
        <v>0</v>
      </c>
      <c r="K8" s="658">
        <f>+'10.10-Grants Receivable'!K27</f>
        <v>0</v>
      </c>
    </row>
    <row r="9" spans="1:14" ht="21" customHeight="1">
      <c r="B9" s="417"/>
      <c r="C9" s="417"/>
      <c r="D9" s="417"/>
      <c r="E9" s="423"/>
      <c r="F9" s="291"/>
      <c r="G9" s="291"/>
      <c r="H9" s="291"/>
      <c r="I9" s="291"/>
      <c r="J9" s="291"/>
      <c r="K9" s="630">
        <f t="shared" ref="K9:K26" si="0">+F9+G9-H9+I9-J9</f>
        <v>0</v>
      </c>
      <c r="L9" s="204"/>
    </row>
    <row r="10" spans="1:14" ht="21" customHeight="1">
      <c r="B10" s="417"/>
      <c r="C10" s="417"/>
      <c r="D10" s="417"/>
      <c r="E10" s="423"/>
      <c r="F10" s="291"/>
      <c r="G10" s="291"/>
      <c r="H10" s="291"/>
      <c r="I10" s="291"/>
      <c r="J10" s="291"/>
      <c r="K10" s="630">
        <f t="shared" si="0"/>
        <v>0</v>
      </c>
      <c r="N10" s="294"/>
    </row>
    <row r="11" spans="1:14" ht="21" customHeight="1">
      <c r="B11" s="417"/>
      <c r="C11" s="417"/>
      <c r="D11" s="417"/>
      <c r="E11" s="423"/>
      <c r="F11" s="291"/>
      <c r="G11" s="291"/>
      <c r="H11" s="291"/>
      <c r="I11" s="291"/>
      <c r="J11" s="291"/>
      <c r="K11" s="630">
        <f t="shared" si="0"/>
        <v>0</v>
      </c>
      <c r="L11" s="204"/>
    </row>
    <row r="12" spans="1:14" ht="21" customHeight="1">
      <c r="B12" s="417"/>
      <c r="C12" s="427"/>
      <c r="D12" s="417"/>
      <c r="E12" s="423"/>
      <c r="F12" s="291"/>
      <c r="G12" s="291"/>
      <c r="H12" s="291"/>
      <c r="I12" s="291"/>
      <c r="J12" s="291"/>
      <c r="K12" s="630">
        <f t="shared" si="0"/>
        <v>0</v>
      </c>
    </row>
    <row r="13" spans="1:14" ht="21" customHeight="1">
      <c r="B13" s="417"/>
      <c r="C13" s="427"/>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195" t="s">
        <v>3274</v>
      </c>
      <c r="B15" s="417"/>
      <c r="C15" s="418"/>
      <c r="D15" s="417"/>
      <c r="E15" s="423"/>
      <c r="F15" s="291"/>
      <c r="G15" s="291"/>
      <c r="H15" s="291"/>
      <c r="I15" s="291"/>
      <c r="J15" s="291"/>
      <c r="K15" s="630">
        <f t="shared" si="0"/>
        <v>0</v>
      </c>
    </row>
    <row r="16" spans="1:14" ht="21" customHeight="1">
      <c r="A16" s="1195"/>
      <c r="B16" s="417"/>
      <c r="C16" s="418"/>
      <c r="D16" s="417"/>
      <c r="E16" s="423"/>
      <c r="F16" s="291"/>
      <c r="G16" s="291"/>
      <c r="H16" s="291"/>
      <c r="I16" s="291"/>
      <c r="J16" s="291"/>
      <c r="K16" s="630">
        <f t="shared" si="0"/>
        <v>0</v>
      </c>
    </row>
    <row r="17" spans="1:12" ht="21" customHeight="1">
      <c r="A17" s="1195"/>
      <c r="B17" s="417"/>
      <c r="C17" s="418"/>
      <c r="D17" s="417"/>
      <c r="E17" s="423"/>
      <c r="F17" s="291"/>
      <c r="G17" s="291"/>
      <c r="H17" s="291"/>
      <c r="I17" s="291"/>
      <c r="J17" s="291"/>
      <c r="K17" s="630">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3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30">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row>
    <row r="25" spans="1:12" ht="21" customHeight="1">
      <c r="B25" s="417"/>
      <c r="C25" s="417"/>
      <c r="D25" s="417"/>
      <c r="E25" s="423"/>
      <c r="F25" s="291"/>
      <c r="G25" s="291"/>
      <c r="H25" s="291"/>
      <c r="I25" s="291"/>
      <c r="J25" s="291"/>
      <c r="K25" s="630">
        <f t="shared" si="0"/>
        <v>0</v>
      </c>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640">
        <f t="shared" si="1"/>
        <v>0</v>
      </c>
    </row>
    <row r="28" spans="1:12" ht="13.8" thickTop="1"/>
    <row r="29" spans="1:12">
      <c r="K29" s="204">
        <f>F27+G27-H27+I27-K27-J27</f>
        <v>0</v>
      </c>
    </row>
    <row r="30" spans="1:12">
      <c r="F30" s="204"/>
      <c r="G30" s="204"/>
      <c r="K30" s="204"/>
      <c r="L30" s="204"/>
    </row>
    <row r="31" spans="1:12">
      <c r="K31" s="204">
        <f>+F27+G27-H27-I27-J27-K27</f>
        <v>62236.160000000003</v>
      </c>
    </row>
    <row r="32" spans="1:12">
      <c r="G32" s="204"/>
    </row>
  </sheetData>
  <sheetProtection algorithmName="SHA-512" hashValue="Ff59SvjxvQXA7Obt9NO6uxlnwUBNZ4FDK8gDeIl3Q1QAfaKTPW5Prw8mqTArSTJjrNuA40X2+qC4pCmqeNTeHg==" saltValue="Qo4TNjyokB6pwUnG9IWhc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EC96F-AA4C-49FB-87DA-877A2AE1B4E4}">
  <sheetPr codeName="Sheet47"/>
  <dimension ref="A2:N32"/>
  <sheetViews>
    <sheetView zoomScaleNormal="100" workbookViewId="0">
      <selection activeCell="G5" sqref="G5"/>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599" t="s">
        <v>3263</v>
      </c>
      <c r="C8" s="599"/>
      <c r="D8" s="599"/>
      <c r="E8" s="600"/>
      <c r="F8" s="591">
        <f>'10.11-Grants Receivable'!F27</f>
        <v>0</v>
      </c>
      <c r="G8" s="591">
        <f>+'10.11-Grants Receivable'!G27</f>
        <v>31118.080000000002</v>
      </c>
      <c r="H8" s="591">
        <f>+'10.11-Grants Receivable'!H27</f>
        <v>0</v>
      </c>
      <c r="I8" s="591">
        <f>+'10.11-Grants Receivable'!I27</f>
        <v>-31118.080000000002</v>
      </c>
      <c r="J8" s="591">
        <f>+'10.11-Grants Receivable'!J27</f>
        <v>0</v>
      </c>
      <c r="K8" s="658">
        <f>+'10.11-Grants Receivable'!K27</f>
        <v>0</v>
      </c>
    </row>
    <row r="9" spans="1:14" ht="21" customHeight="1">
      <c r="B9" s="417"/>
      <c r="C9" s="417"/>
      <c r="D9" s="417"/>
      <c r="E9" s="423"/>
      <c r="F9" s="291"/>
      <c r="G9" s="291"/>
      <c r="H9" s="291"/>
      <c r="I9" s="291"/>
      <c r="J9" s="291"/>
      <c r="K9" s="630">
        <f t="shared" ref="K9:K26" si="0">+F9+G9-H9+I9-J9</f>
        <v>0</v>
      </c>
      <c r="L9" s="204"/>
    </row>
    <row r="10" spans="1:14" ht="21" customHeight="1">
      <c r="B10" s="417"/>
      <c r="C10" s="417"/>
      <c r="D10" s="417"/>
      <c r="E10" s="423"/>
      <c r="F10" s="291"/>
      <c r="G10" s="291"/>
      <c r="H10" s="291"/>
      <c r="I10" s="291"/>
      <c r="J10" s="291"/>
      <c r="K10" s="630">
        <f t="shared" si="0"/>
        <v>0</v>
      </c>
      <c r="N10" s="294"/>
    </row>
    <row r="11" spans="1:14" ht="21" customHeight="1">
      <c r="B11" s="417"/>
      <c r="C11" s="417"/>
      <c r="D11" s="417"/>
      <c r="E11" s="423"/>
      <c r="F11" s="291"/>
      <c r="G11" s="291"/>
      <c r="H11" s="291"/>
      <c r="I11" s="291"/>
      <c r="J11" s="291"/>
      <c r="K11" s="630">
        <f t="shared" si="0"/>
        <v>0</v>
      </c>
      <c r="L11" s="204"/>
    </row>
    <row r="12" spans="1:14" ht="21" customHeight="1">
      <c r="B12" s="417"/>
      <c r="C12" s="427"/>
      <c r="D12" s="417"/>
      <c r="E12" s="423"/>
      <c r="F12" s="291"/>
      <c r="G12" s="291"/>
      <c r="H12" s="291"/>
      <c r="I12" s="291"/>
      <c r="J12" s="291"/>
      <c r="K12" s="630">
        <f t="shared" si="0"/>
        <v>0</v>
      </c>
    </row>
    <row r="13" spans="1:14" ht="21" customHeight="1">
      <c r="B13" s="417"/>
      <c r="C13" s="427"/>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195" t="s">
        <v>3275</v>
      </c>
      <c r="B15" s="417"/>
      <c r="C15" s="418"/>
      <c r="D15" s="417"/>
      <c r="E15" s="423"/>
      <c r="F15" s="291"/>
      <c r="G15" s="291"/>
      <c r="H15" s="291"/>
      <c r="I15" s="291"/>
      <c r="J15" s="291"/>
      <c r="K15" s="630">
        <f t="shared" si="0"/>
        <v>0</v>
      </c>
    </row>
    <row r="16" spans="1:14" ht="21" customHeight="1">
      <c r="A16" s="1195"/>
      <c r="B16" s="417"/>
      <c r="C16" s="418"/>
      <c r="D16" s="417"/>
      <c r="E16" s="423"/>
      <c r="F16" s="291"/>
      <c r="G16" s="291"/>
      <c r="H16" s="291"/>
      <c r="I16" s="291"/>
      <c r="J16" s="291"/>
      <c r="K16" s="630">
        <f t="shared" si="0"/>
        <v>0</v>
      </c>
    </row>
    <row r="17" spans="1:12" ht="21" customHeight="1">
      <c r="A17" s="1195"/>
      <c r="B17" s="417"/>
      <c r="C17" s="418"/>
      <c r="D17" s="417"/>
      <c r="E17" s="423"/>
      <c r="F17" s="291"/>
      <c r="G17" s="291"/>
      <c r="H17" s="291"/>
      <c r="I17" s="291"/>
      <c r="J17" s="291"/>
      <c r="K17" s="630">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3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30">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row>
    <row r="25" spans="1:12" ht="21" customHeight="1">
      <c r="B25" s="417"/>
      <c r="C25" s="417"/>
      <c r="D25" s="417"/>
      <c r="E25" s="423"/>
      <c r="F25" s="291"/>
      <c r="G25" s="291"/>
      <c r="H25" s="291"/>
      <c r="I25" s="291"/>
      <c r="J25" s="291"/>
      <c r="K25" s="630">
        <f t="shared" si="0"/>
        <v>0</v>
      </c>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640">
        <f t="shared" si="1"/>
        <v>0</v>
      </c>
    </row>
    <row r="28" spans="1:12" ht="13.8" thickTop="1"/>
    <row r="29" spans="1:12">
      <c r="K29" s="204">
        <f>F27+G27-H27+I27-K27-J27</f>
        <v>0</v>
      </c>
    </row>
    <row r="30" spans="1:12">
      <c r="F30" s="204"/>
      <c r="G30" s="204"/>
      <c r="K30" s="204"/>
      <c r="L30" s="204"/>
    </row>
    <row r="31" spans="1:12">
      <c r="K31" s="204">
        <f>+F27+G27-H27-I27-J27-K27</f>
        <v>62236.160000000003</v>
      </c>
    </row>
    <row r="32" spans="1:12">
      <c r="G32" s="204"/>
    </row>
  </sheetData>
  <sheetProtection algorithmName="SHA-512" hashValue="DJ2EIKXAJi1Y/6Altaqyw31cTsHelnYpLuibns+YdzdaD+fAu0QX/zgnaB1pRloAMVdUqdhXILoKzWPd4an7Tg==" saltValue="rfFr6nwAiYAtzKNEC88MKg=="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421F5-E044-4B3F-8CEC-729FFE6F6D85}">
  <sheetPr codeName="Sheet48"/>
  <dimension ref="A2:N32"/>
  <sheetViews>
    <sheetView zoomScaleNormal="100" workbookViewId="0">
      <selection activeCell="G5" sqref="G5"/>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22" t="s">
        <v>3263</v>
      </c>
      <c r="C8" s="22"/>
      <c r="D8" s="22"/>
      <c r="E8" s="23"/>
      <c r="F8" s="657">
        <f>+'10.12-Grants Receivable'!F27</f>
        <v>0</v>
      </c>
      <c r="G8" s="657">
        <f>+'10.12-Grants Receivable'!G27</f>
        <v>31118.080000000002</v>
      </c>
      <c r="H8" s="657">
        <f>+'10.12-Grants Receivable'!H27</f>
        <v>0</v>
      </c>
      <c r="I8" s="657">
        <f>+'10.12-Grants Receivable'!I27</f>
        <v>-31118.080000000002</v>
      </c>
      <c r="J8" s="657">
        <f>+'10.12-Grants Receivable'!J27</f>
        <v>0</v>
      </c>
      <c r="K8" s="658">
        <f>+'10.12-Grants Receivable'!K27</f>
        <v>0</v>
      </c>
    </row>
    <row r="9" spans="1:14" ht="21" customHeight="1">
      <c r="B9" s="417"/>
      <c r="C9" s="417"/>
      <c r="D9" s="417"/>
      <c r="E9" s="423"/>
      <c r="F9" s="291"/>
      <c r="G9" s="291"/>
      <c r="H9" s="291"/>
      <c r="I9" s="291"/>
      <c r="J9" s="291"/>
      <c r="K9" s="630">
        <f t="shared" ref="K9:K26" si="0">+F9+G9-H9+I9-J9</f>
        <v>0</v>
      </c>
      <c r="L9" s="204"/>
    </row>
    <row r="10" spans="1:14" ht="21" customHeight="1">
      <c r="B10" s="417"/>
      <c r="C10" s="417"/>
      <c r="D10" s="417"/>
      <c r="E10" s="423"/>
      <c r="F10" s="291"/>
      <c r="G10" s="291"/>
      <c r="H10" s="291"/>
      <c r="I10" s="291"/>
      <c r="J10" s="291"/>
      <c r="K10" s="630">
        <f t="shared" si="0"/>
        <v>0</v>
      </c>
      <c r="N10" s="294"/>
    </row>
    <row r="11" spans="1:14" ht="21" customHeight="1">
      <c r="B11" s="417"/>
      <c r="C11" s="417"/>
      <c r="D11" s="417"/>
      <c r="E11" s="423"/>
      <c r="F11" s="291"/>
      <c r="G11" s="291"/>
      <c r="H11" s="291"/>
      <c r="I11" s="291"/>
      <c r="J11" s="291"/>
      <c r="K11" s="630">
        <f t="shared" si="0"/>
        <v>0</v>
      </c>
      <c r="L11" s="204"/>
    </row>
    <row r="12" spans="1:14" ht="21" customHeight="1">
      <c r="B12" s="417"/>
      <c r="C12" s="427"/>
      <c r="D12" s="417"/>
      <c r="E12" s="423"/>
      <c r="F12" s="291"/>
      <c r="G12" s="291"/>
      <c r="H12" s="291"/>
      <c r="I12" s="291"/>
      <c r="J12" s="291"/>
      <c r="K12" s="630">
        <f t="shared" si="0"/>
        <v>0</v>
      </c>
    </row>
    <row r="13" spans="1:14" ht="21" customHeight="1">
      <c r="B13" s="417"/>
      <c r="C13" s="427"/>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195" t="s">
        <v>3276</v>
      </c>
      <c r="B15" s="417"/>
      <c r="C15" s="418"/>
      <c r="D15" s="417"/>
      <c r="E15" s="423"/>
      <c r="F15" s="291"/>
      <c r="G15" s="291"/>
      <c r="H15" s="291"/>
      <c r="I15" s="291"/>
      <c r="J15" s="291"/>
      <c r="K15" s="630">
        <f t="shared" si="0"/>
        <v>0</v>
      </c>
    </row>
    <row r="16" spans="1:14" ht="21" customHeight="1">
      <c r="A16" s="1195"/>
      <c r="B16" s="417"/>
      <c r="C16" s="418"/>
      <c r="D16" s="417"/>
      <c r="E16" s="423"/>
      <c r="F16" s="291"/>
      <c r="G16" s="291"/>
      <c r="H16" s="291"/>
      <c r="I16" s="291"/>
      <c r="J16" s="291"/>
      <c r="K16" s="630">
        <f t="shared" si="0"/>
        <v>0</v>
      </c>
    </row>
    <row r="17" spans="1:12" ht="21" customHeight="1">
      <c r="A17" s="1195"/>
      <c r="B17" s="417"/>
      <c r="C17" s="418"/>
      <c r="D17" s="417"/>
      <c r="E17" s="423"/>
      <c r="F17" s="291"/>
      <c r="G17" s="291"/>
      <c r="H17" s="291"/>
      <c r="I17" s="291"/>
      <c r="J17" s="291"/>
      <c r="K17" s="630">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3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30">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row>
    <row r="25" spans="1:12" ht="21" customHeight="1">
      <c r="B25" s="417"/>
      <c r="C25" s="417"/>
      <c r="D25" s="417"/>
      <c r="E25" s="423"/>
      <c r="F25" s="291"/>
      <c r="G25" s="291"/>
      <c r="H25" s="291"/>
      <c r="I25" s="291"/>
      <c r="J25" s="291"/>
      <c r="K25" s="630">
        <f t="shared" si="0"/>
        <v>0</v>
      </c>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640">
        <f t="shared" si="1"/>
        <v>0</v>
      </c>
    </row>
    <row r="28" spans="1:12" ht="13.8" thickTop="1"/>
    <row r="29" spans="1:12">
      <c r="K29" s="204">
        <f>F27+G27-H27+I27-K27-J27</f>
        <v>0</v>
      </c>
    </row>
    <row r="30" spans="1:12">
      <c r="F30" s="204"/>
      <c r="G30" s="204"/>
      <c r="K30" s="204"/>
      <c r="L30" s="204"/>
    </row>
    <row r="31" spans="1:12">
      <c r="K31" s="204">
        <f>+F27+G27-H27-I27-J27-K27</f>
        <v>62236.160000000003</v>
      </c>
    </row>
    <row r="32" spans="1:12">
      <c r="G32" s="204"/>
    </row>
  </sheetData>
  <sheetProtection algorithmName="SHA-512" hashValue="550LqkWImrGu0RH6DNYVgM6ZF5qOxiN4F41J1kiG5oCMb7UzFU4853abxbZCLowMFWtnHlpbParEzoDEh9n0gw==" saltValue="tPAOn+MPCattxdC1ozFEX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CB837-0DBA-49A4-A96A-6B8FB402BF7C}">
  <sheetPr codeName="Sheet49"/>
  <dimension ref="A2:N32"/>
  <sheetViews>
    <sheetView zoomScaleNormal="100" workbookViewId="0">
      <selection activeCell="G5" sqref="G5"/>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22" t="s">
        <v>3263</v>
      </c>
      <c r="C8" s="22"/>
      <c r="D8" s="22"/>
      <c r="E8" s="23"/>
      <c r="F8" s="657">
        <f>+'10.13-Grants Receivable'!F27</f>
        <v>0</v>
      </c>
      <c r="G8" s="657">
        <f>+'10.13-Grants Receivable'!G27</f>
        <v>31118.080000000002</v>
      </c>
      <c r="H8" s="657">
        <f>+'10.13-Grants Receivable'!H27</f>
        <v>0</v>
      </c>
      <c r="I8" s="657">
        <f>+'10.13-Grants Receivable'!I27</f>
        <v>-31118.080000000002</v>
      </c>
      <c r="J8" s="657">
        <f>+'10.13-Grants Receivable'!J27</f>
        <v>0</v>
      </c>
      <c r="K8" s="658">
        <f>+'10.13-Grants Receivable'!K27</f>
        <v>0</v>
      </c>
    </row>
    <row r="9" spans="1:14" ht="21" customHeight="1">
      <c r="B9" s="417"/>
      <c r="C9" s="417"/>
      <c r="D9" s="417"/>
      <c r="E9" s="423"/>
      <c r="F9" s="291"/>
      <c r="G9" s="291"/>
      <c r="H9" s="291"/>
      <c r="I9" s="291"/>
      <c r="J9" s="291"/>
      <c r="K9" s="630">
        <f t="shared" ref="K9:K26" si="0">+F9+G9-H9+I9-J9</f>
        <v>0</v>
      </c>
      <c r="L9" s="204"/>
    </row>
    <row r="10" spans="1:14" ht="21" customHeight="1">
      <c r="B10" s="417"/>
      <c r="C10" s="417"/>
      <c r="D10" s="417"/>
      <c r="E10" s="423"/>
      <c r="F10" s="291"/>
      <c r="G10" s="291"/>
      <c r="H10" s="291"/>
      <c r="I10" s="291"/>
      <c r="J10" s="291"/>
      <c r="K10" s="630">
        <f t="shared" si="0"/>
        <v>0</v>
      </c>
      <c r="N10" s="294"/>
    </row>
    <row r="11" spans="1:14" ht="21" customHeight="1">
      <c r="B11" s="417"/>
      <c r="C11" s="417"/>
      <c r="D11" s="417"/>
      <c r="E11" s="423"/>
      <c r="F11" s="291"/>
      <c r="G11" s="291"/>
      <c r="H11" s="291"/>
      <c r="I11" s="291"/>
      <c r="J11" s="291"/>
      <c r="K11" s="630">
        <f t="shared" si="0"/>
        <v>0</v>
      </c>
      <c r="L11" s="204"/>
    </row>
    <row r="12" spans="1:14" ht="21" customHeight="1">
      <c r="B12" s="417"/>
      <c r="C12" s="427"/>
      <c r="D12" s="417"/>
      <c r="E12" s="423"/>
      <c r="F12" s="291"/>
      <c r="G12" s="291"/>
      <c r="H12" s="291"/>
      <c r="I12" s="291"/>
      <c r="J12" s="291"/>
      <c r="K12" s="630">
        <f t="shared" si="0"/>
        <v>0</v>
      </c>
    </row>
    <row r="13" spans="1:14" ht="21" customHeight="1">
      <c r="B13" s="417"/>
      <c r="C13" s="427"/>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195" t="s">
        <v>3277</v>
      </c>
      <c r="B15" s="417"/>
      <c r="C15" s="418"/>
      <c r="D15" s="417"/>
      <c r="E15" s="423"/>
      <c r="F15" s="291"/>
      <c r="G15" s="291"/>
      <c r="H15" s="291"/>
      <c r="I15" s="291"/>
      <c r="J15" s="291"/>
      <c r="K15" s="630">
        <f t="shared" si="0"/>
        <v>0</v>
      </c>
    </row>
    <row r="16" spans="1:14" ht="21" customHeight="1">
      <c r="A16" s="1195"/>
      <c r="B16" s="417"/>
      <c r="C16" s="418"/>
      <c r="D16" s="417"/>
      <c r="E16" s="423"/>
      <c r="F16" s="291"/>
      <c r="G16" s="291"/>
      <c r="H16" s="291"/>
      <c r="I16" s="291"/>
      <c r="J16" s="291"/>
      <c r="K16" s="630">
        <f t="shared" si="0"/>
        <v>0</v>
      </c>
    </row>
    <row r="17" spans="1:12" ht="21" customHeight="1">
      <c r="A17" s="1195"/>
      <c r="B17" s="417"/>
      <c r="C17" s="418"/>
      <c r="D17" s="417"/>
      <c r="E17" s="423"/>
      <c r="F17" s="291"/>
      <c r="G17" s="291"/>
      <c r="H17" s="291"/>
      <c r="I17" s="291"/>
      <c r="J17" s="291"/>
      <c r="K17" s="630">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3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30">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row>
    <row r="25" spans="1:12" ht="21" customHeight="1">
      <c r="B25" s="417"/>
      <c r="C25" s="417"/>
      <c r="D25" s="417"/>
      <c r="E25" s="423"/>
      <c r="F25" s="291"/>
      <c r="G25" s="291"/>
      <c r="H25" s="291"/>
      <c r="I25" s="291"/>
      <c r="J25" s="291"/>
      <c r="K25" s="630">
        <f t="shared" si="0"/>
        <v>0</v>
      </c>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640">
        <f t="shared" si="1"/>
        <v>0</v>
      </c>
    </row>
    <row r="28" spans="1:12" ht="13.8" thickTop="1"/>
    <row r="29" spans="1:12">
      <c r="K29" s="204">
        <f>F27+G27-H27+I27-K27-J27</f>
        <v>0</v>
      </c>
    </row>
    <row r="30" spans="1:12">
      <c r="F30" s="204"/>
      <c r="G30" s="204"/>
      <c r="K30" s="204"/>
      <c r="L30" s="204"/>
    </row>
    <row r="31" spans="1:12">
      <c r="K31" s="204">
        <f>+F27+G27-H27-I27-J27-K27</f>
        <v>62236.160000000003</v>
      </c>
    </row>
    <row r="32" spans="1:12">
      <c r="G32" s="204"/>
    </row>
  </sheetData>
  <sheetProtection algorithmName="SHA-512" hashValue="lxpgD79k3ldV2dvQh3bMxiBZp4hJayVGtMXnFc3FSsBYjc9QAB/+MZ6zHXLqs/trPPfaVx4ETzP3Xk34Aa65EQ==" saltValue="filXUTwgev3FSK9jK8EkLQ=="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B2:Y63"/>
  <sheetViews>
    <sheetView tabSelected="1" topLeftCell="B26" zoomScaleNormal="100" zoomScaleSheetLayoutView="80" workbookViewId="0">
      <selection activeCell="F54" sqref="F54:L54"/>
    </sheetView>
  </sheetViews>
  <sheetFormatPr defaultRowHeight="13.2"/>
  <cols>
    <col min="1" max="4" width="4.6640625" customWidth="1"/>
    <col min="5" max="5" width="7.88671875" customWidth="1"/>
    <col min="6" max="6" width="8.5546875" customWidth="1"/>
    <col min="7" max="7" width="5.6640625" customWidth="1"/>
    <col min="8" max="9" width="4.6640625" customWidth="1"/>
    <col min="11" max="11" width="11.33203125" customWidth="1"/>
    <col min="12" max="12" width="10" customWidth="1"/>
    <col min="13" max="13" width="8.33203125" customWidth="1"/>
    <col min="14" max="14" width="7.44140625" customWidth="1"/>
    <col min="15" max="15" width="5.109375" customWidth="1"/>
    <col min="16" max="16" width="11" bestFit="1" customWidth="1"/>
    <col min="18" max="18" width="12.33203125" hidden="1" customWidth="1"/>
    <col min="25" max="25" width="0" hidden="1" customWidth="1"/>
    <col min="27" max="27" width="13.109375" customWidth="1"/>
  </cols>
  <sheetData>
    <row r="2" spans="2:19" ht="20.399999999999999">
      <c r="B2" s="1131" t="str">
        <f>"ANNUAL  FINANCIAL  STATEMENT  FOR  THE  YEAR  "&amp;TEXT(IF('KEY INPUTS'!C42 = "State Fiscal Year", 'KEY INPUTS'!D33,'KEY INPUTS'!D34),"0")</f>
        <v>ANNUAL  FINANCIAL  STATEMENT  FOR  THE  YEAR  2024</v>
      </c>
      <c r="C2" s="1131"/>
      <c r="D2" s="1131"/>
      <c r="E2" s="1131"/>
      <c r="F2" s="1131"/>
      <c r="G2" s="1131"/>
      <c r="H2" s="1131"/>
      <c r="I2" s="1131"/>
      <c r="J2" s="1131"/>
      <c r="K2" s="1131"/>
      <c r="L2" s="1131"/>
      <c r="M2" s="1131"/>
      <c r="N2" s="1131"/>
      <c r="O2" s="1131"/>
    </row>
    <row r="3" spans="2:19" ht="20.399999999999999">
      <c r="B3" s="1131" t="s">
        <v>737</v>
      </c>
      <c r="C3" s="1131"/>
      <c r="D3" s="1131"/>
      <c r="E3" s="1131"/>
      <c r="F3" s="1131"/>
      <c r="G3" s="1131"/>
      <c r="H3" s="1131"/>
      <c r="I3" s="1131"/>
      <c r="J3" s="1131"/>
      <c r="K3" s="1131"/>
      <c r="L3" s="1131"/>
      <c r="M3" s="1131"/>
      <c r="N3" s="1131"/>
      <c r="O3" s="1131"/>
    </row>
    <row r="5" spans="2:19">
      <c r="J5" s="38" t="s">
        <v>738</v>
      </c>
      <c r="K5" s="1160">
        <f>'KEY INPUTS'!D37</f>
        <v>1232</v>
      </c>
      <c r="L5" s="1161"/>
    </row>
    <row r="6" spans="2:19">
      <c r="J6" s="38" t="str">
        <f>UPPER('KEY INPUTS'!C38)</f>
        <v>NET VALUATION TAXABLE 2024</v>
      </c>
      <c r="K6" s="1163">
        <f>'KEY INPUTS'!D38</f>
        <v>114735737</v>
      </c>
      <c r="L6" s="1163"/>
      <c r="M6" s="30"/>
      <c r="P6" s="226"/>
      <c r="R6" s="226"/>
      <c r="S6" s="226"/>
    </row>
    <row r="7" spans="2:19">
      <c r="J7" s="38" t="s">
        <v>80</v>
      </c>
      <c r="K7" s="1162" t="str">
        <f>'KEY INPUTS'!D39</f>
        <v>1020</v>
      </c>
      <c r="L7" s="1147"/>
    </row>
    <row r="8" spans="2:19">
      <c r="B8" s="1158" t="s">
        <v>739</v>
      </c>
      <c r="C8" s="1158"/>
      <c r="D8" s="1158"/>
      <c r="E8" s="1158"/>
      <c r="F8" s="1158"/>
      <c r="G8" s="1158"/>
      <c r="H8" s="1158"/>
      <c r="I8" s="1158"/>
      <c r="J8" s="1158"/>
      <c r="K8" s="1158"/>
      <c r="L8" s="1158"/>
      <c r="M8" s="1158"/>
      <c r="N8" s="1158"/>
      <c r="O8" s="1158"/>
    </row>
    <row r="9" spans="2:19">
      <c r="B9" s="1159" t="str">
        <f>IF('KEY INPUTS'!C42 = "State Fiscal Year","",'KEY INPUTS'!D43)</f>
        <v>COUNTIES - JANUARY  26, 2025</v>
      </c>
      <c r="C9" s="1158"/>
      <c r="D9" s="1158"/>
      <c r="E9" s="1158"/>
      <c r="F9" s="1158"/>
      <c r="G9" s="1158"/>
      <c r="H9" s="1158"/>
      <c r="I9" s="1158"/>
      <c r="J9" s="1158"/>
      <c r="K9" s="1158"/>
      <c r="L9" s="1158"/>
      <c r="M9" s="1158"/>
      <c r="N9" s="1158"/>
      <c r="O9" s="1158"/>
    </row>
    <row r="10" spans="2:19">
      <c r="B10" s="1159" t="str">
        <f>IF('KEY INPUTS'!C42 = "State Fiscal Year", 'KEY INPUTS'!F44,'KEY INPUTS'!D44)</f>
        <v>MUNICIPALITIES - FEBRUARY 10, 2025</v>
      </c>
      <c r="C10" s="1158"/>
      <c r="D10" s="1158"/>
      <c r="E10" s="1158"/>
      <c r="F10" s="1158"/>
      <c r="G10" s="1158"/>
      <c r="H10" s="1158"/>
      <c r="I10" s="1158"/>
      <c r="J10" s="1158"/>
      <c r="K10" s="1158"/>
      <c r="L10" s="1158"/>
      <c r="M10" s="1158"/>
      <c r="N10" s="1158"/>
      <c r="O10" s="1158"/>
    </row>
    <row r="12" spans="2:19" ht="13.8">
      <c r="B12" s="88" t="s">
        <v>740</v>
      </c>
    </row>
    <row r="13" spans="2:19" ht="13.8">
      <c r="B13" s="88" t="s">
        <v>741</v>
      </c>
    </row>
    <row r="14" spans="2:19" ht="13.8">
      <c r="B14" s="88" t="s">
        <v>742</v>
      </c>
    </row>
    <row r="15" spans="2:19" ht="13.8">
      <c r="B15" s="88" t="s">
        <v>743</v>
      </c>
    </row>
    <row r="17" spans="2:15">
      <c r="B17" s="1150" t="str">
        <f>+'KEY INPUTS'!D12</f>
        <v>BOROUGH</v>
      </c>
      <c r="C17" s="1150"/>
      <c r="D17" s="1150"/>
      <c r="E17" s="1150"/>
      <c r="F17" s="1150"/>
      <c r="G17" s="1" t="s">
        <v>540</v>
      </c>
      <c r="H17" s="1150" t="str">
        <f>+'KEY INPUTS'!D11</f>
        <v>MILFORD</v>
      </c>
      <c r="I17" s="1150"/>
      <c r="J17" s="1150"/>
      <c r="K17" s="1150"/>
      <c r="L17" t="s">
        <v>744</v>
      </c>
      <c r="M17" s="1150" t="str">
        <f>+'KEY INPUTS'!D10</f>
        <v>HUNTERDON</v>
      </c>
      <c r="N17" s="1150"/>
      <c r="O17" s="1150"/>
    </row>
    <row r="19" spans="2:15">
      <c r="B19" s="1157"/>
      <c r="C19" s="1157"/>
      <c r="D19" s="1157"/>
      <c r="E19" s="1157"/>
      <c r="F19" s="1157"/>
      <c r="G19" s="1157"/>
      <c r="H19" s="1157"/>
      <c r="I19" s="1157"/>
      <c r="J19" s="1157"/>
      <c r="K19" s="1157"/>
      <c r="L19" s="1157"/>
      <c r="M19" s="1157"/>
      <c r="N19" s="1157"/>
      <c r="O19" s="1157"/>
    </row>
    <row r="20" spans="2:15">
      <c r="B20" s="1157" t="s">
        <v>745</v>
      </c>
      <c r="C20" s="1157"/>
      <c r="D20" s="1157"/>
      <c r="E20" s="1157"/>
      <c r="F20" s="1157"/>
      <c r="G20" s="1157"/>
      <c r="H20" s="1157"/>
      <c r="I20" s="1157"/>
      <c r="J20" s="1157"/>
      <c r="K20" s="1157"/>
      <c r="L20" s="1157"/>
      <c r="M20" s="1157"/>
      <c r="N20" s="1157"/>
      <c r="O20" s="1157"/>
    </row>
    <row r="22" spans="2:15" ht="24.9" customHeight="1">
      <c r="E22" s="172"/>
      <c r="F22" s="174" t="s">
        <v>17</v>
      </c>
      <c r="G22" s="1148" t="s">
        <v>748</v>
      </c>
      <c r="H22" s="1148"/>
      <c r="I22" s="1148"/>
      <c r="J22" s="1148"/>
      <c r="K22" s="1148"/>
      <c r="L22" s="1148"/>
      <c r="M22" s="1148"/>
    </row>
    <row r="23" spans="2:15" ht="24.9" customHeight="1">
      <c r="E23" s="173" t="s">
        <v>746</v>
      </c>
      <c r="F23" s="619"/>
      <c r="G23" s="1151"/>
      <c r="H23" s="1152"/>
      <c r="I23" s="1152"/>
      <c r="J23" s="1152"/>
      <c r="K23" s="1148" t="s">
        <v>749</v>
      </c>
      <c r="L23" s="1148"/>
      <c r="M23" s="1148"/>
    </row>
    <row r="24" spans="2:15" ht="24.9" customHeight="1">
      <c r="E24" s="173" t="s">
        <v>747</v>
      </c>
      <c r="F24" s="619"/>
      <c r="G24" s="1151"/>
      <c r="H24" s="1152"/>
      <c r="I24" s="1152"/>
      <c r="J24" s="1152"/>
      <c r="K24" s="1148" t="s">
        <v>750</v>
      </c>
      <c r="L24" s="1148"/>
      <c r="M24" s="1148"/>
    </row>
    <row r="26" spans="2:15">
      <c r="B26" s="175" t="s">
        <v>892</v>
      </c>
    </row>
    <row r="27" spans="2:15">
      <c r="B27" s="175" t="s">
        <v>893</v>
      </c>
    </row>
    <row r="28" spans="2:15">
      <c r="B28" s="175" t="s">
        <v>894</v>
      </c>
    </row>
    <row r="29" spans="2:15" ht="20.100000000000001" customHeight="1">
      <c r="K29" s="38" t="s">
        <v>751</v>
      </c>
      <c r="L29" s="1153" t="s">
        <v>3791</v>
      </c>
      <c r="M29" s="1154"/>
      <c r="N29" s="1154"/>
    </row>
    <row r="30" spans="2:15" ht="20.100000000000001" customHeight="1">
      <c r="K30" s="38" t="s">
        <v>312</v>
      </c>
      <c r="L30" s="1155" t="s">
        <v>832</v>
      </c>
      <c r="M30" s="1156"/>
      <c r="N30" s="1156"/>
    </row>
    <row r="32" spans="2:15">
      <c r="B32" s="218" t="s">
        <v>752</v>
      </c>
    </row>
    <row r="35" spans="2:25" ht="13.8">
      <c r="B35" s="88" t="s">
        <v>753</v>
      </c>
    </row>
    <row r="36" spans="2:25" ht="3" customHeight="1">
      <c r="B36" s="30"/>
      <c r="C36" s="30"/>
      <c r="D36" s="30"/>
      <c r="E36" s="30"/>
      <c r="F36" s="30"/>
      <c r="G36" s="30"/>
      <c r="H36" s="30"/>
      <c r="I36" s="30"/>
      <c r="J36" s="30"/>
      <c r="K36" s="30"/>
      <c r="L36" s="30"/>
      <c r="M36" s="30"/>
      <c r="N36" s="30"/>
      <c r="O36" s="30"/>
    </row>
    <row r="38" spans="2:25">
      <c r="B38" s="96" t="str">
        <f>"I hereby certify that I am responsible for filing this verified Annual Financial Statement,"</f>
        <v>I hereby certify that I am responsible for filing this verified Annual Financial Statement,</v>
      </c>
      <c r="C38" s="34"/>
      <c r="D38" s="34"/>
      <c r="E38" s="34"/>
      <c r="F38" s="34"/>
      <c r="G38" s="34"/>
      <c r="H38" s="34"/>
      <c r="I38" s="34"/>
      <c r="J38" s="34"/>
      <c r="K38" s="34"/>
      <c r="L38" s="96" t="str">
        <f>Y43</f>
        <v>(which I have prepared)</v>
      </c>
      <c r="M38" s="34"/>
      <c r="N38" s="96" t="s">
        <v>374</v>
      </c>
      <c r="O38" s="34"/>
    </row>
    <row r="39" spans="2:25">
      <c r="B39" s="96" t="str">
        <f>Y44</f>
        <v>(which I have not prepared)</v>
      </c>
      <c r="C39" s="34"/>
      <c r="D39" s="34"/>
      <c r="E39" s="34"/>
      <c r="F39" s="175" t="str">
        <f>Y45</f>
        <v>[eliminate one]</v>
      </c>
      <c r="G39" s="34"/>
      <c r="H39" s="96" t="str">
        <f>" and information required also included herein and that this Statement is an"</f>
        <v xml:space="preserve"> and information required also included herein and that this Statement is an</v>
      </c>
      <c r="I39" s="34"/>
      <c r="J39" s="34"/>
      <c r="K39" s="34"/>
      <c r="L39" s="34"/>
      <c r="M39" s="34"/>
      <c r="N39" s="34"/>
      <c r="O39" s="34"/>
      <c r="R39" s="550" t="s">
        <v>3345</v>
      </c>
    </row>
    <row r="40" spans="2:25">
      <c r="B40" s="96" t="s">
        <v>423</v>
      </c>
      <c r="C40" s="34"/>
      <c r="D40" s="34"/>
      <c r="E40" s="34"/>
      <c r="F40" s="34"/>
      <c r="G40" s="34"/>
      <c r="H40" s="34"/>
      <c r="I40" s="34"/>
      <c r="J40" s="34"/>
      <c r="K40" s="34"/>
      <c r="L40" s="34"/>
      <c r="M40" s="34"/>
      <c r="N40" s="34"/>
      <c r="O40" s="34"/>
    </row>
    <row r="41" spans="2:25">
      <c r="B41" s="96" t="s">
        <v>316</v>
      </c>
      <c r="C41" s="34"/>
      <c r="D41" s="34"/>
      <c r="E41" s="34"/>
      <c r="F41" s="34"/>
      <c r="G41" s="34"/>
      <c r="H41" s="34"/>
      <c r="I41" s="34"/>
      <c r="J41" s="34"/>
      <c r="K41" s="34"/>
      <c r="L41" s="34"/>
      <c r="M41" s="34"/>
      <c r="N41" s="34"/>
      <c r="O41" s="34"/>
      <c r="Q41" s="112" t="s">
        <v>3372</v>
      </c>
    </row>
    <row r="42" spans="2:25">
      <c r="B42" s="96" t="s">
        <v>843</v>
      </c>
      <c r="C42" s="34"/>
      <c r="D42" s="34"/>
      <c r="E42" s="34"/>
      <c r="F42" s="34"/>
      <c r="G42" s="34"/>
      <c r="H42" s="34"/>
      <c r="I42" s="34"/>
      <c r="J42" s="34"/>
      <c r="K42" s="34"/>
      <c r="L42" s="34"/>
      <c r="M42" s="34"/>
      <c r="N42" s="34"/>
      <c r="O42" s="34"/>
      <c r="Q42" s="620" t="s">
        <v>3795</v>
      </c>
    </row>
    <row r="43" spans="2:25">
      <c r="B43" s="96" t="s">
        <v>361</v>
      </c>
      <c r="C43" s="34"/>
      <c r="D43" s="34"/>
      <c r="E43" s="34"/>
      <c r="F43" s="34"/>
      <c r="G43" s="34"/>
      <c r="H43" s="34"/>
      <c r="I43" s="34"/>
      <c r="J43" s="34"/>
      <c r="K43" s="34"/>
      <c r="L43" s="34"/>
      <c r="M43" s="34"/>
      <c r="N43" s="34"/>
      <c r="O43" s="34"/>
      <c r="Y43" s="239" t="s">
        <v>3373</v>
      </c>
    </row>
    <row r="44" spans="2:25">
      <c r="Y44" s="239" t="s">
        <v>3374</v>
      </c>
    </row>
    <row r="45" spans="2:25">
      <c r="B45" s="96" t="s">
        <v>466</v>
      </c>
      <c r="G45" s="1150" t="str">
        <f>IF('KEY INPUTS'!D21=0,"NO ENTRY",'KEY INPUTS'!D21)</f>
        <v>William Hance</v>
      </c>
      <c r="H45" s="1150"/>
      <c r="I45" s="1150"/>
      <c r="J45" s="1150"/>
      <c r="K45" s="1150"/>
      <c r="L45" s="1150"/>
      <c r="M45" s="96" t="s">
        <v>3623</v>
      </c>
      <c r="Y45" s="239" t="s">
        <v>3375</v>
      </c>
    </row>
    <row r="46" spans="2:25">
      <c r="B46" s="96" t="s">
        <v>754</v>
      </c>
      <c r="E46" s="1150" t="str">
        <f>IF('KEY INPUTS'!E21=0,"NO ENTRY",'KEY INPUTS'!E21)</f>
        <v>N 0431</v>
      </c>
      <c r="F46" s="1150"/>
      <c r="G46" s="96" t="s">
        <v>22</v>
      </c>
      <c r="H46" s="1150" t="str">
        <f>+'KEY INPUTS'!D12</f>
        <v>BOROUGH</v>
      </c>
      <c r="I46" s="1150"/>
      <c r="J46" s="1150"/>
      <c r="K46" s="1150"/>
      <c r="L46" s="1150"/>
      <c r="M46" s="1150"/>
      <c r="N46" s="96" t="s">
        <v>540</v>
      </c>
    </row>
    <row r="47" spans="2:25">
      <c r="B47" s="1149" t="str">
        <f>+'KEY INPUTS'!D11</f>
        <v>MILFORD</v>
      </c>
      <c r="C47" s="1149"/>
      <c r="D47" s="1149"/>
      <c r="E47" s="1149"/>
      <c r="F47" s="1149"/>
      <c r="G47" s="96" t="s">
        <v>465</v>
      </c>
      <c r="I47" s="1150" t="str">
        <f>+'KEY INPUTS'!D10</f>
        <v>HUNTERDON</v>
      </c>
      <c r="J47" s="1150"/>
      <c r="K47" s="1150"/>
      <c r="L47" s="1150"/>
      <c r="M47" s="1150"/>
      <c r="N47" s="96" t="s">
        <v>464</v>
      </c>
    </row>
    <row r="48" spans="2:25">
      <c r="B48" s="96" t="s">
        <v>21</v>
      </c>
    </row>
    <row r="49" spans="2:15">
      <c r="B49" s="96" t="str">
        <f>IF('KEY INPUTS'!C42="State Fiscal Year",'KEY INPUTS'!F47,"December 31, "&amp;'KEY INPUTS'!D34&amp;"")&amp;", completely in compliance with N.J.S.A. 40A:5-12, as amended. I also give complete assurance as"</f>
        <v>December 31, 2024, completely in compliance with N.J.S.A. 40A:5-12, as amended. I also give complete assurance as</v>
      </c>
    </row>
    <row r="50" spans="2:15">
      <c r="B50" s="96" t="s">
        <v>53</v>
      </c>
    </row>
    <row r="51" spans="2:15">
      <c r="B51" s="96" t="str">
        <f>"Services, including the verification of cash balances as of "&amp;IF('KEY INPUTS'!C42="State Fiscal Year",""&amp;'KEY INPUTS'!F47&amp;".","December 31, "&amp;'KEY INPUTS'!D34&amp;"")&amp;"."</f>
        <v>Services, including the verification of cash balances as of December 31, 2024.</v>
      </c>
    </row>
    <row r="53" spans="2:15" ht="20.100000000000001" customHeight="1">
      <c r="D53" t="s">
        <v>751</v>
      </c>
      <c r="F53" s="1145" t="s">
        <v>3811</v>
      </c>
      <c r="G53" s="1145"/>
      <c r="H53" s="1145"/>
      <c r="I53" s="1145"/>
      <c r="J53" s="1145"/>
      <c r="K53" s="1145"/>
      <c r="L53" s="1145"/>
    </row>
    <row r="54" spans="2:15" ht="20.100000000000001" customHeight="1">
      <c r="D54" t="s">
        <v>312</v>
      </c>
      <c r="F54" s="1145" t="s">
        <v>3801</v>
      </c>
      <c r="G54" s="1145"/>
      <c r="H54" s="1145"/>
      <c r="I54" s="1145"/>
      <c r="J54" s="1145"/>
      <c r="K54" s="1145"/>
      <c r="L54" s="1145"/>
    </row>
    <row r="55" spans="2:15" ht="20.100000000000001" customHeight="1">
      <c r="D55" t="s">
        <v>54</v>
      </c>
      <c r="F55" s="1146" t="str">
        <f>IF('KEY INPUTS'!D16=0,"NO ENTRY",'KEY INPUTS'!D16)</f>
        <v>P.O. Box 507</v>
      </c>
      <c r="G55" s="1146"/>
      <c r="H55" s="1146"/>
      <c r="I55" s="1146"/>
      <c r="J55" s="1146"/>
      <c r="K55" s="1146"/>
      <c r="L55" s="1146"/>
    </row>
    <row r="56" spans="2:15" ht="20.100000000000001" customHeight="1">
      <c r="D56" t="s">
        <v>55</v>
      </c>
      <c r="G56" s="5"/>
      <c r="H56" s="1147" t="str">
        <f>IF('KEY INPUTS'!D18=0,"NO ENTRY",'KEY INPUTS'!D18)</f>
        <v>908-995-4323</v>
      </c>
      <c r="I56" s="1147"/>
      <c r="J56" s="1147"/>
      <c r="K56" s="5"/>
      <c r="L56" s="5"/>
    </row>
    <row r="57" spans="2:15" ht="20.100000000000001" customHeight="1">
      <c r="D57" t="s">
        <v>82</v>
      </c>
      <c r="G57" s="5"/>
      <c r="H57" s="1147" t="str">
        <f>IF('KEY INPUTS'!D19=0,"NO ENTRY",'KEY INPUTS'!D19)</f>
        <v>908-995-2343</v>
      </c>
      <c r="I57" s="1147"/>
      <c r="J57" s="1147"/>
      <c r="K57" s="5"/>
      <c r="L57" s="5"/>
    </row>
    <row r="59" spans="2:15">
      <c r="D59" t="s">
        <v>461</v>
      </c>
    </row>
    <row r="60" spans="2:15">
      <c r="D60" t="s">
        <v>57</v>
      </c>
    </row>
    <row r="61" spans="2:15">
      <c r="D61" t="s">
        <v>462</v>
      </c>
    </row>
    <row r="62" spans="2:15">
      <c r="D62" t="s">
        <v>463</v>
      </c>
    </row>
    <row r="63" spans="2:15" ht="13.8">
      <c r="B63" s="1130" t="s">
        <v>56</v>
      </c>
      <c r="C63" s="1130"/>
      <c r="D63" s="1130"/>
      <c r="E63" s="1130"/>
      <c r="F63" s="1130"/>
      <c r="G63" s="1130"/>
      <c r="H63" s="1130"/>
      <c r="I63" s="1130"/>
      <c r="J63" s="1130"/>
      <c r="K63" s="1130"/>
      <c r="L63" s="1130"/>
      <c r="M63" s="1130"/>
      <c r="N63" s="1130"/>
      <c r="O63" s="1130"/>
    </row>
  </sheetData>
  <sheetProtection algorithmName="SHA-512" hashValue="nK1iC5bgTgynRx7WIpAnIP24LmqD1J/iUDe1/gyUwyGCDN1RLzEwKrQ1PoXZBjxfcdPqLoigWBTmEGe54iL0Qw==" saltValue="D85xV2VTgkmisDwSQGodyA==" spinCount="100000" sheet="1" objects="1" scenarios="1"/>
  <mergeCells count="31">
    <mergeCell ref="B19:O19"/>
    <mergeCell ref="B20:O20"/>
    <mergeCell ref="B2:O2"/>
    <mergeCell ref="B3:O3"/>
    <mergeCell ref="B8:O8"/>
    <mergeCell ref="B9:O9"/>
    <mergeCell ref="K5:L5"/>
    <mergeCell ref="K7:L7"/>
    <mergeCell ref="K6:L6"/>
    <mergeCell ref="B10:O10"/>
    <mergeCell ref="M17:O17"/>
    <mergeCell ref="H17:K17"/>
    <mergeCell ref="B17:F17"/>
    <mergeCell ref="F53:L53"/>
    <mergeCell ref="G22:M22"/>
    <mergeCell ref="K23:M23"/>
    <mergeCell ref="B47:F47"/>
    <mergeCell ref="I47:M47"/>
    <mergeCell ref="H46:M46"/>
    <mergeCell ref="G24:J24"/>
    <mergeCell ref="G23:J23"/>
    <mergeCell ref="K24:M24"/>
    <mergeCell ref="L29:N29"/>
    <mergeCell ref="L30:N30"/>
    <mergeCell ref="G45:L45"/>
    <mergeCell ref="E46:F46"/>
    <mergeCell ref="F54:L54"/>
    <mergeCell ref="F55:L55"/>
    <mergeCell ref="B63:O63"/>
    <mergeCell ref="H56:J56"/>
    <mergeCell ref="H57:J57"/>
  </mergeCells>
  <phoneticPr fontId="0" type="noConversion"/>
  <conditionalFormatting sqref="Y43">
    <cfRule type="expression" dxfId="18" priority="8">
      <formula>UPPER($Q$42)="N"</formula>
    </cfRule>
    <cfRule type="expression" dxfId="17" priority="9">
      <formula>UPPER($Q$42)="N"</formula>
    </cfRule>
  </conditionalFormatting>
  <conditionalFormatting sqref="L38">
    <cfRule type="expression" dxfId="16" priority="7">
      <formula>UPPER($Q$42)="N"</formula>
    </cfRule>
  </conditionalFormatting>
  <conditionalFormatting sqref="F39">
    <cfRule type="expression" dxfId="15" priority="3">
      <formula>UPPER($Q$42)="Y"</formula>
    </cfRule>
    <cfRule type="expression" dxfId="14" priority="6">
      <formula>UPPER($Q$42)="N"</formula>
    </cfRule>
  </conditionalFormatting>
  <conditionalFormatting sqref="Y45">
    <cfRule type="expression" dxfId="13" priority="1">
      <formula>UPPER($Q$42)="Y"</formula>
    </cfRule>
    <cfRule type="expression" dxfId="12" priority="5">
      <formula>UPPER($Q$42)="N"</formula>
    </cfRule>
  </conditionalFormatting>
  <conditionalFormatting sqref="B39">
    <cfRule type="expression" dxfId="11" priority="4">
      <formula>UPPER($Q$42)="Y"</formula>
    </cfRule>
  </conditionalFormatting>
  <conditionalFormatting sqref="Y44">
    <cfRule type="expression" dxfId="10" priority="2">
      <formula>UPPER($Q$42)="Y"</formula>
    </cfRule>
  </conditionalFormatting>
  <pageMargins left="0.25" right="0.25" top="0.5" bottom="0.5" header="0.25" footer="0.25"/>
  <pageSetup paperSize="5"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C0862-E0CA-49AC-9EBE-88B8EA039DD0}">
  <sheetPr codeName="Sheet50"/>
  <dimension ref="A2:N32"/>
  <sheetViews>
    <sheetView zoomScaleNormal="100" workbookViewId="0">
      <selection activeCell="G5" sqref="G5"/>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22" t="s">
        <v>3263</v>
      </c>
      <c r="C8" s="22"/>
      <c r="D8" s="22"/>
      <c r="E8" s="23"/>
      <c r="F8" s="657">
        <f>+'10.14-Grants Receivable'!F27</f>
        <v>0</v>
      </c>
      <c r="G8" s="657">
        <f>+'10.14-Grants Receivable'!G27</f>
        <v>31118.080000000002</v>
      </c>
      <c r="H8" s="657">
        <f>+'10.14-Grants Receivable'!H27</f>
        <v>0</v>
      </c>
      <c r="I8" s="657">
        <f>+'10.14-Grants Receivable'!I27</f>
        <v>-31118.080000000002</v>
      </c>
      <c r="J8" s="657">
        <f>+'10.14-Grants Receivable'!J27</f>
        <v>0</v>
      </c>
      <c r="K8" s="658">
        <f>+'10.14-Grants Receivable'!K27</f>
        <v>0</v>
      </c>
    </row>
    <row r="9" spans="1:14" ht="21" customHeight="1">
      <c r="B9" s="417"/>
      <c r="C9" s="417"/>
      <c r="D9" s="417"/>
      <c r="E9" s="423"/>
      <c r="F9" s="291"/>
      <c r="G9" s="291"/>
      <c r="H9" s="291"/>
      <c r="I9" s="291"/>
      <c r="J9" s="291"/>
      <c r="K9" s="630">
        <f t="shared" ref="K9:K26" si="0">+F9+G9-H9+I9-J9</f>
        <v>0</v>
      </c>
      <c r="L9" s="204"/>
    </row>
    <row r="10" spans="1:14" ht="21" customHeight="1">
      <c r="B10" s="417"/>
      <c r="C10" s="417"/>
      <c r="D10" s="417"/>
      <c r="E10" s="423"/>
      <c r="F10" s="291"/>
      <c r="G10" s="291"/>
      <c r="H10" s="291"/>
      <c r="I10" s="291"/>
      <c r="J10" s="291"/>
      <c r="K10" s="630">
        <f t="shared" si="0"/>
        <v>0</v>
      </c>
      <c r="N10" s="294"/>
    </row>
    <row r="11" spans="1:14" ht="21" customHeight="1">
      <c r="B11" s="417"/>
      <c r="C11" s="417"/>
      <c r="D11" s="417"/>
      <c r="E11" s="423"/>
      <c r="F11" s="291"/>
      <c r="G11" s="291"/>
      <c r="H11" s="291"/>
      <c r="I11" s="291"/>
      <c r="J11" s="291"/>
      <c r="K11" s="630">
        <f t="shared" si="0"/>
        <v>0</v>
      </c>
      <c r="L11" s="204"/>
    </row>
    <row r="12" spans="1:14" ht="21" customHeight="1">
      <c r="B12" s="417"/>
      <c r="C12" s="427"/>
      <c r="D12" s="417"/>
      <c r="E12" s="423"/>
      <c r="F12" s="291"/>
      <c r="G12" s="291"/>
      <c r="H12" s="291"/>
      <c r="I12" s="291"/>
      <c r="J12" s="291"/>
      <c r="K12" s="630">
        <f t="shared" si="0"/>
        <v>0</v>
      </c>
    </row>
    <row r="13" spans="1:14" ht="21" customHeight="1">
      <c r="B13" s="417"/>
      <c r="C13" s="427"/>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195" t="s">
        <v>3278</v>
      </c>
      <c r="B15" s="417"/>
      <c r="C15" s="418"/>
      <c r="D15" s="417"/>
      <c r="E15" s="423"/>
      <c r="F15" s="291"/>
      <c r="G15" s="291"/>
      <c r="H15" s="291"/>
      <c r="I15" s="291"/>
      <c r="J15" s="291"/>
      <c r="K15" s="630">
        <f t="shared" si="0"/>
        <v>0</v>
      </c>
    </row>
    <row r="16" spans="1:14" ht="21" customHeight="1">
      <c r="A16" s="1195"/>
      <c r="B16" s="417"/>
      <c r="C16" s="418"/>
      <c r="D16" s="417"/>
      <c r="E16" s="423"/>
      <c r="F16" s="291"/>
      <c r="G16" s="291"/>
      <c r="H16" s="291"/>
      <c r="I16" s="291"/>
      <c r="J16" s="291"/>
      <c r="K16" s="630">
        <f t="shared" si="0"/>
        <v>0</v>
      </c>
    </row>
    <row r="17" spans="1:12" ht="21" customHeight="1">
      <c r="A17" s="1195"/>
      <c r="B17" s="417"/>
      <c r="C17" s="418"/>
      <c r="D17" s="417"/>
      <c r="E17" s="423"/>
      <c r="F17" s="291"/>
      <c r="G17" s="291"/>
      <c r="H17" s="291"/>
      <c r="I17" s="291"/>
      <c r="J17" s="291"/>
      <c r="K17" s="630">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3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30">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row>
    <row r="25" spans="1:12" ht="21" customHeight="1">
      <c r="B25" s="417"/>
      <c r="C25" s="417"/>
      <c r="D25" s="417"/>
      <c r="E25" s="423"/>
      <c r="F25" s="291"/>
      <c r="G25" s="291"/>
      <c r="H25" s="291"/>
      <c r="I25" s="291"/>
      <c r="J25" s="291"/>
      <c r="K25" s="630">
        <f t="shared" si="0"/>
        <v>0</v>
      </c>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640">
        <f t="shared" si="1"/>
        <v>0</v>
      </c>
    </row>
    <row r="28" spans="1:12" ht="13.8" thickTop="1"/>
    <row r="29" spans="1:12">
      <c r="K29" s="204">
        <f>F27+G27-H27+I27-K27-J27</f>
        <v>0</v>
      </c>
    </row>
    <row r="30" spans="1:12">
      <c r="F30" s="204"/>
      <c r="G30" s="204"/>
      <c r="K30" s="204"/>
      <c r="L30" s="204"/>
    </row>
    <row r="31" spans="1:12">
      <c r="K31" s="204">
        <f>+F27+G27-H27-I27-J27-K27</f>
        <v>62236.160000000003</v>
      </c>
    </row>
    <row r="32" spans="1:12">
      <c r="G32" s="204"/>
    </row>
  </sheetData>
  <sheetProtection algorithmName="SHA-512" hashValue="hf4e7Ue/giV+SE7uZ/Ui4nwaw7HoF8MvS9G/HhpXMJOhD1Aly7rEb3s4/AlK44HhxctXxtMipBB/9FZ4nSSFsA==" saltValue="oKFggYeur/KIJdO7JU9Xsg=="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AC88B-1739-478D-B62A-4C8096671941}">
  <sheetPr codeName="Sheet51"/>
  <dimension ref="A2:N32"/>
  <sheetViews>
    <sheetView zoomScaleNormal="100" workbookViewId="0">
      <selection activeCell="G5" sqref="G5"/>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22" t="s">
        <v>3263</v>
      </c>
      <c r="C8" s="22"/>
      <c r="D8" s="22"/>
      <c r="E8" s="23"/>
      <c r="F8" s="657">
        <f>+'10.15-Grants Receivable'!F27</f>
        <v>0</v>
      </c>
      <c r="G8" s="657">
        <f>+'10.15-Grants Receivable'!G27</f>
        <v>31118.080000000002</v>
      </c>
      <c r="H8" s="657">
        <f>+'10.15-Grants Receivable'!H27</f>
        <v>0</v>
      </c>
      <c r="I8" s="657">
        <f>+'10.15-Grants Receivable'!I27</f>
        <v>-31118.080000000002</v>
      </c>
      <c r="J8" s="657">
        <f>+'10.15-Grants Receivable'!J27</f>
        <v>0</v>
      </c>
      <c r="K8" s="658">
        <f>+'10.15-Grants Receivable'!K27</f>
        <v>0</v>
      </c>
    </row>
    <row r="9" spans="1:14" ht="21" customHeight="1">
      <c r="B9" s="417"/>
      <c r="C9" s="417"/>
      <c r="D9" s="417"/>
      <c r="E9" s="423"/>
      <c r="F9" s="291"/>
      <c r="G9" s="291"/>
      <c r="H9" s="291"/>
      <c r="I9" s="291"/>
      <c r="J9" s="291"/>
      <c r="K9" s="630">
        <f t="shared" ref="K9:K26" si="0">+F9+G9-H9+I9-J9</f>
        <v>0</v>
      </c>
      <c r="L9" s="204"/>
    </row>
    <row r="10" spans="1:14" ht="21" customHeight="1">
      <c r="B10" s="417"/>
      <c r="C10" s="417"/>
      <c r="D10" s="417"/>
      <c r="E10" s="423"/>
      <c r="F10" s="291"/>
      <c r="G10" s="291"/>
      <c r="H10" s="291"/>
      <c r="I10" s="291"/>
      <c r="J10" s="291"/>
      <c r="K10" s="630">
        <f t="shared" si="0"/>
        <v>0</v>
      </c>
      <c r="N10" s="294"/>
    </row>
    <row r="11" spans="1:14" ht="21" customHeight="1">
      <c r="B11" s="417"/>
      <c r="C11" s="417"/>
      <c r="D11" s="417"/>
      <c r="E11" s="423"/>
      <c r="F11" s="291"/>
      <c r="G11" s="291"/>
      <c r="H11" s="291"/>
      <c r="I11" s="291"/>
      <c r="J11" s="291"/>
      <c r="K11" s="630">
        <f t="shared" si="0"/>
        <v>0</v>
      </c>
      <c r="L11" s="204"/>
    </row>
    <row r="12" spans="1:14" ht="21" customHeight="1">
      <c r="B12" s="417"/>
      <c r="C12" s="427"/>
      <c r="D12" s="417"/>
      <c r="E12" s="423"/>
      <c r="F12" s="291"/>
      <c r="G12" s="291"/>
      <c r="H12" s="291"/>
      <c r="I12" s="291"/>
      <c r="J12" s="291"/>
      <c r="K12" s="630">
        <f t="shared" si="0"/>
        <v>0</v>
      </c>
    </row>
    <row r="13" spans="1:14" ht="21" customHeight="1">
      <c r="B13" s="417"/>
      <c r="C13" s="427"/>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215" t="s">
        <v>3279</v>
      </c>
      <c r="B15" s="417"/>
      <c r="C15" s="418"/>
      <c r="D15" s="417"/>
      <c r="E15" s="423"/>
      <c r="F15" s="291"/>
      <c r="G15" s="291"/>
      <c r="H15" s="291"/>
      <c r="I15" s="291"/>
      <c r="J15" s="291"/>
      <c r="K15" s="630">
        <f t="shared" si="0"/>
        <v>0</v>
      </c>
    </row>
    <row r="16" spans="1:14" ht="21" customHeight="1">
      <c r="A16" s="1215"/>
      <c r="B16" s="417"/>
      <c r="C16" s="418"/>
      <c r="D16" s="417"/>
      <c r="E16" s="423"/>
      <c r="F16" s="291"/>
      <c r="G16" s="291"/>
      <c r="H16" s="291"/>
      <c r="I16" s="291"/>
      <c r="J16" s="291"/>
      <c r="K16" s="630">
        <f t="shared" si="0"/>
        <v>0</v>
      </c>
    </row>
    <row r="17" spans="1:12" ht="21" customHeight="1">
      <c r="A17" s="1215"/>
      <c r="B17" s="417"/>
      <c r="C17" s="418"/>
      <c r="D17" s="417"/>
      <c r="E17" s="423"/>
      <c r="F17" s="291"/>
      <c r="G17" s="291"/>
      <c r="H17" s="291"/>
      <c r="I17" s="291"/>
      <c r="J17" s="291"/>
      <c r="K17" s="630">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3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30">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row>
    <row r="25" spans="1:12" ht="21" customHeight="1">
      <c r="B25" s="417"/>
      <c r="C25" s="417"/>
      <c r="D25" s="417"/>
      <c r="E25" s="423"/>
      <c r="F25" s="291"/>
      <c r="G25" s="291"/>
      <c r="H25" s="291"/>
      <c r="I25" s="291"/>
      <c r="J25" s="291"/>
      <c r="K25" s="630">
        <f t="shared" si="0"/>
        <v>0</v>
      </c>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640">
        <f t="shared" si="1"/>
        <v>0</v>
      </c>
    </row>
    <row r="28" spans="1:12" ht="13.8" thickTop="1"/>
    <row r="29" spans="1:12">
      <c r="K29" s="204">
        <f>F27+G27-H27+I27-K27-J27</f>
        <v>0</v>
      </c>
    </row>
    <row r="30" spans="1:12">
      <c r="F30" s="204"/>
      <c r="G30" s="204"/>
      <c r="K30" s="204"/>
      <c r="L30" s="204"/>
    </row>
    <row r="31" spans="1:12">
      <c r="K31" s="204">
        <f>+F27+G27-H27-I27-J27-K27</f>
        <v>62236.160000000003</v>
      </c>
    </row>
    <row r="32" spans="1:12">
      <c r="G32" s="204"/>
    </row>
  </sheetData>
  <sheetProtection algorithmName="SHA-512" hashValue="rdU5I7x2Ag2SjZ63Vulqg5PgzZr4uzJy0y1sMtAKp5DUAXc9eRtAD3MMkj3lxztZZ4zGX/kPoJR9eJX3cswFmw==" saltValue="VqM1Wdjc656kMSzbr8dDE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7EA0C-B339-4ABA-B81D-FF95F097E197}">
  <sheetPr codeName="Sheet52"/>
  <dimension ref="A2:N32"/>
  <sheetViews>
    <sheetView zoomScaleNormal="100" workbookViewId="0">
      <selection activeCell="G5" sqref="G5"/>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22" t="s">
        <v>3263</v>
      </c>
      <c r="C8" s="22"/>
      <c r="D8" s="22"/>
      <c r="E8" s="23"/>
      <c r="F8" s="657">
        <f>+'10.16-Grants Receivable'!F27</f>
        <v>0</v>
      </c>
      <c r="G8" s="657">
        <f>+'10.16-Grants Receivable'!G27</f>
        <v>31118.080000000002</v>
      </c>
      <c r="H8" s="657">
        <f>+'10.16-Grants Receivable'!H27</f>
        <v>0</v>
      </c>
      <c r="I8" s="657">
        <f>+'10.16-Grants Receivable'!I27</f>
        <v>-31118.080000000002</v>
      </c>
      <c r="J8" s="657">
        <f>+'10.16-Grants Receivable'!J27</f>
        <v>0</v>
      </c>
      <c r="K8" s="658">
        <f>+'10.16-Grants Receivable'!K27</f>
        <v>0</v>
      </c>
    </row>
    <row r="9" spans="1:14" ht="21" customHeight="1">
      <c r="B9" s="417"/>
      <c r="C9" s="417"/>
      <c r="D9" s="417"/>
      <c r="E9" s="423"/>
      <c r="F9" s="291"/>
      <c r="G9" s="291"/>
      <c r="H9" s="291"/>
      <c r="I9" s="291"/>
      <c r="J9" s="291"/>
      <c r="K9" s="630">
        <f t="shared" ref="K9:K26" si="0">+F9+G9-H9+I9-J9</f>
        <v>0</v>
      </c>
      <c r="L9" s="204"/>
    </row>
    <row r="10" spans="1:14" ht="21" customHeight="1">
      <c r="B10" s="417"/>
      <c r="C10" s="417"/>
      <c r="D10" s="417"/>
      <c r="E10" s="423"/>
      <c r="F10" s="291"/>
      <c r="G10" s="291"/>
      <c r="H10" s="291"/>
      <c r="I10" s="291"/>
      <c r="J10" s="291"/>
      <c r="K10" s="630">
        <f t="shared" si="0"/>
        <v>0</v>
      </c>
      <c r="N10" s="294"/>
    </row>
    <row r="11" spans="1:14" ht="21" customHeight="1">
      <c r="B11" s="417"/>
      <c r="C11" s="417"/>
      <c r="D11" s="417"/>
      <c r="E11" s="423"/>
      <c r="F11" s="291"/>
      <c r="G11" s="291"/>
      <c r="H11" s="291"/>
      <c r="I11" s="291"/>
      <c r="J11" s="291"/>
      <c r="K11" s="630">
        <f t="shared" si="0"/>
        <v>0</v>
      </c>
      <c r="L11" s="204"/>
    </row>
    <row r="12" spans="1:14" ht="21" customHeight="1">
      <c r="B12" s="417"/>
      <c r="C12" s="427"/>
      <c r="D12" s="417"/>
      <c r="E12" s="423"/>
      <c r="F12" s="291"/>
      <c r="G12" s="291"/>
      <c r="H12" s="291"/>
      <c r="I12" s="291"/>
      <c r="J12" s="291"/>
      <c r="K12" s="630">
        <f t="shared" si="0"/>
        <v>0</v>
      </c>
    </row>
    <row r="13" spans="1:14" ht="21" customHeight="1">
      <c r="B13" s="417"/>
      <c r="C13" s="427"/>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195" t="s">
        <v>3280</v>
      </c>
      <c r="B15" s="417"/>
      <c r="C15" s="418"/>
      <c r="D15" s="417"/>
      <c r="E15" s="423"/>
      <c r="F15" s="291"/>
      <c r="G15" s="291"/>
      <c r="H15" s="291"/>
      <c r="I15" s="291"/>
      <c r="J15" s="291"/>
      <c r="K15" s="630">
        <f t="shared" si="0"/>
        <v>0</v>
      </c>
    </row>
    <row r="16" spans="1:14" ht="21" customHeight="1">
      <c r="A16" s="1195"/>
      <c r="B16" s="417"/>
      <c r="C16" s="418"/>
      <c r="D16" s="417"/>
      <c r="E16" s="423"/>
      <c r="F16" s="291"/>
      <c r="G16" s="291"/>
      <c r="H16" s="291"/>
      <c r="I16" s="291"/>
      <c r="J16" s="291"/>
      <c r="K16" s="630">
        <f t="shared" si="0"/>
        <v>0</v>
      </c>
    </row>
    <row r="17" spans="1:12" ht="21" customHeight="1">
      <c r="A17" s="1195"/>
      <c r="B17" s="417"/>
      <c r="C17" s="418"/>
      <c r="D17" s="417"/>
      <c r="E17" s="423"/>
      <c r="F17" s="291"/>
      <c r="G17" s="291"/>
      <c r="H17" s="291"/>
      <c r="I17" s="291"/>
      <c r="J17" s="291"/>
      <c r="K17" s="630">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3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30">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row>
    <row r="25" spans="1:12" ht="21" customHeight="1">
      <c r="B25" s="417"/>
      <c r="C25" s="417"/>
      <c r="D25" s="417"/>
      <c r="E25" s="423"/>
      <c r="F25" s="291"/>
      <c r="G25" s="291"/>
      <c r="H25" s="291"/>
      <c r="I25" s="291"/>
      <c r="J25" s="291"/>
      <c r="K25" s="630">
        <f t="shared" si="0"/>
        <v>0</v>
      </c>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640">
        <f t="shared" si="1"/>
        <v>0</v>
      </c>
    </row>
    <row r="28" spans="1:12" ht="13.8" thickTop="1"/>
    <row r="29" spans="1:12">
      <c r="K29" s="204">
        <f>F27+G27-H27+I27-K27-J27</f>
        <v>0</v>
      </c>
    </row>
    <row r="30" spans="1:12">
      <c r="F30" s="204"/>
      <c r="G30" s="204"/>
      <c r="K30" s="204"/>
      <c r="L30" s="204"/>
    </row>
    <row r="31" spans="1:12">
      <c r="K31" s="204">
        <f>+F27+G27-H27-I27-J27-K27</f>
        <v>62236.160000000003</v>
      </c>
    </row>
    <row r="32" spans="1:12">
      <c r="G32" s="204"/>
    </row>
  </sheetData>
  <sheetProtection algorithmName="SHA-512" hashValue="Ki6sHp8yNjMIiunp1DMINqurWWcTLSrNGmRjWlgjY0Lj1v1XF3ZC0CYmroMjt3CcVzLBhe4OXyrOM7RHAX2CKA==" saltValue="wUQPOeTCs6qskNNJFglbpg=="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AE003-48B1-40C9-8503-53EEC03904A2}">
  <sheetPr codeName="Sheet53"/>
  <dimension ref="A2:N32"/>
  <sheetViews>
    <sheetView zoomScaleNormal="100" workbookViewId="0">
      <selection activeCell="G5" sqref="G5"/>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22" t="s">
        <v>3263</v>
      </c>
      <c r="C8" s="22"/>
      <c r="D8" s="22"/>
      <c r="E8" s="23"/>
      <c r="F8" s="657">
        <f>+'10.17-Grants Receivable'!F27</f>
        <v>0</v>
      </c>
      <c r="G8" s="657">
        <f>+'10.17-Grants Receivable'!G27</f>
        <v>31118.080000000002</v>
      </c>
      <c r="H8" s="657">
        <f>+'10.17-Grants Receivable'!H27</f>
        <v>0</v>
      </c>
      <c r="I8" s="657">
        <f>+'10.17-Grants Receivable'!I27</f>
        <v>-31118.080000000002</v>
      </c>
      <c r="J8" s="657">
        <f>+'10.17-Grants Receivable'!J27</f>
        <v>0</v>
      </c>
      <c r="K8" s="658">
        <f>+'10.17-Grants Receivable'!K27</f>
        <v>0</v>
      </c>
    </row>
    <row r="9" spans="1:14" ht="21" customHeight="1">
      <c r="B9" s="417"/>
      <c r="C9" s="417"/>
      <c r="D9" s="417"/>
      <c r="E9" s="423"/>
      <c r="F9" s="291"/>
      <c r="G9" s="291"/>
      <c r="H9" s="291"/>
      <c r="I9" s="291"/>
      <c r="J9" s="291"/>
      <c r="K9" s="630">
        <f t="shared" ref="K9:K26" si="0">+F9+G9-H9+I9-J9</f>
        <v>0</v>
      </c>
      <c r="L9" s="204"/>
    </row>
    <row r="10" spans="1:14" ht="21" customHeight="1">
      <c r="B10" s="417"/>
      <c r="C10" s="417"/>
      <c r="D10" s="417"/>
      <c r="E10" s="423"/>
      <c r="F10" s="291"/>
      <c r="G10" s="291"/>
      <c r="H10" s="291"/>
      <c r="I10" s="291"/>
      <c r="J10" s="291"/>
      <c r="K10" s="630">
        <f t="shared" si="0"/>
        <v>0</v>
      </c>
      <c r="N10" s="294"/>
    </row>
    <row r="11" spans="1:14" ht="21" customHeight="1">
      <c r="B11" s="417"/>
      <c r="C11" s="417"/>
      <c r="D11" s="417"/>
      <c r="E11" s="423"/>
      <c r="F11" s="291"/>
      <c r="G11" s="291"/>
      <c r="H11" s="291"/>
      <c r="I11" s="291"/>
      <c r="J11" s="291"/>
      <c r="K11" s="630">
        <f t="shared" si="0"/>
        <v>0</v>
      </c>
      <c r="L11" s="204"/>
    </row>
    <row r="12" spans="1:14" ht="21" customHeight="1">
      <c r="B12" s="417"/>
      <c r="C12" s="427"/>
      <c r="D12" s="417"/>
      <c r="E12" s="423"/>
      <c r="F12" s="291"/>
      <c r="G12" s="291"/>
      <c r="H12" s="291"/>
      <c r="I12" s="291"/>
      <c r="J12" s="291"/>
      <c r="K12" s="630">
        <f t="shared" si="0"/>
        <v>0</v>
      </c>
    </row>
    <row r="13" spans="1:14" ht="21" customHeight="1">
      <c r="B13" s="417"/>
      <c r="C13" s="427"/>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195" t="s">
        <v>3282</v>
      </c>
      <c r="B15" s="417"/>
      <c r="C15" s="418"/>
      <c r="D15" s="417"/>
      <c r="E15" s="423"/>
      <c r="F15" s="291"/>
      <c r="G15" s="291"/>
      <c r="H15" s="291"/>
      <c r="I15" s="291"/>
      <c r="J15" s="291"/>
      <c r="K15" s="630">
        <f t="shared" si="0"/>
        <v>0</v>
      </c>
    </row>
    <row r="16" spans="1:14" ht="21" customHeight="1">
      <c r="A16" s="1195"/>
      <c r="B16" s="417"/>
      <c r="C16" s="418"/>
      <c r="D16" s="417"/>
      <c r="E16" s="423"/>
      <c r="F16" s="291"/>
      <c r="G16" s="291"/>
      <c r="H16" s="291"/>
      <c r="I16" s="291"/>
      <c r="J16" s="291"/>
      <c r="K16" s="630">
        <f t="shared" si="0"/>
        <v>0</v>
      </c>
    </row>
    <row r="17" spans="1:12" ht="21" customHeight="1">
      <c r="A17" s="1195"/>
      <c r="B17" s="417"/>
      <c r="C17" s="418"/>
      <c r="D17" s="417"/>
      <c r="E17" s="423"/>
      <c r="F17" s="291"/>
      <c r="G17" s="291"/>
      <c r="H17" s="291"/>
      <c r="I17" s="291"/>
      <c r="J17" s="291"/>
      <c r="K17" s="630">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3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30">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row>
    <row r="25" spans="1:12" ht="21" customHeight="1">
      <c r="B25" s="417"/>
      <c r="C25" s="417"/>
      <c r="D25" s="417"/>
      <c r="E25" s="423"/>
      <c r="F25" s="291"/>
      <c r="G25" s="291"/>
      <c r="H25" s="291"/>
      <c r="I25" s="291"/>
      <c r="J25" s="291"/>
      <c r="K25" s="630">
        <f t="shared" si="0"/>
        <v>0</v>
      </c>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640">
        <f t="shared" si="1"/>
        <v>0</v>
      </c>
    </row>
    <row r="28" spans="1:12" ht="13.8" thickTop="1"/>
    <row r="29" spans="1:12">
      <c r="K29" s="204">
        <f>F27+G27-H27+I27-K27-J27</f>
        <v>0</v>
      </c>
    </row>
    <row r="30" spans="1:12">
      <c r="F30" s="204"/>
      <c r="G30" s="204"/>
      <c r="K30" s="204"/>
      <c r="L30" s="204"/>
    </row>
    <row r="31" spans="1:12">
      <c r="K31" s="204">
        <f>+F27+G27-H27-I27-J27-K27</f>
        <v>62236.160000000003</v>
      </c>
    </row>
    <row r="32" spans="1:12">
      <c r="G32" s="204"/>
    </row>
  </sheetData>
  <sheetProtection algorithmName="SHA-512" hashValue="qeeN3aaUyyk/5QIXV1EqgMNiVMW2xmOv5dE8xo8mC0E4wDCE/OikmiVu3bdPM2I4HTB0lLeCs8UqUVQDEwDGLQ==" saltValue="K3TcDqENTmyT/wjkUekcU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44141-C23F-4444-BD91-E92812349E30}">
  <sheetPr codeName="Sheet54"/>
  <dimension ref="A2:N32"/>
  <sheetViews>
    <sheetView zoomScaleNormal="100" workbookViewId="0">
      <selection activeCell="G5" sqref="G5"/>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22" t="s">
        <v>3263</v>
      </c>
      <c r="C8" s="22"/>
      <c r="D8" s="22"/>
      <c r="E8" s="23"/>
      <c r="F8" s="657">
        <f>+'10.18-Grants Receivable'!F27</f>
        <v>0</v>
      </c>
      <c r="G8" s="657">
        <f>+'10.18-Grants Receivable'!G27</f>
        <v>31118.080000000002</v>
      </c>
      <c r="H8" s="657">
        <f>+'10.18-Grants Receivable'!H27</f>
        <v>0</v>
      </c>
      <c r="I8" s="657">
        <f>+'10.18-Grants Receivable'!I27</f>
        <v>-31118.080000000002</v>
      </c>
      <c r="J8" s="657">
        <f>+'10.18-Grants Receivable'!J27</f>
        <v>0</v>
      </c>
      <c r="K8" s="658">
        <f>+'10.18-Grants Receivable'!K27</f>
        <v>0</v>
      </c>
    </row>
    <row r="9" spans="1:14" ht="21" customHeight="1">
      <c r="B9" s="417"/>
      <c r="C9" s="417"/>
      <c r="D9" s="417"/>
      <c r="E9" s="423"/>
      <c r="F9" s="291"/>
      <c r="G9" s="291"/>
      <c r="H9" s="291"/>
      <c r="I9" s="291"/>
      <c r="J9" s="291"/>
      <c r="K9" s="630">
        <f t="shared" ref="K9:K26" si="0">+F9+G9-H9+I9-J9</f>
        <v>0</v>
      </c>
      <c r="L9" s="204"/>
    </row>
    <row r="10" spans="1:14" ht="21" customHeight="1">
      <c r="B10" s="417"/>
      <c r="C10" s="417"/>
      <c r="D10" s="417"/>
      <c r="E10" s="423"/>
      <c r="F10" s="291"/>
      <c r="G10" s="291"/>
      <c r="H10" s="291"/>
      <c r="I10" s="291"/>
      <c r="J10" s="291"/>
      <c r="K10" s="630">
        <f t="shared" si="0"/>
        <v>0</v>
      </c>
      <c r="N10" s="294"/>
    </row>
    <row r="11" spans="1:14" ht="21" customHeight="1">
      <c r="B11" s="417"/>
      <c r="C11" s="417"/>
      <c r="D11" s="417"/>
      <c r="E11" s="423"/>
      <c r="F11" s="291"/>
      <c r="G11" s="291"/>
      <c r="H11" s="291"/>
      <c r="I11" s="291"/>
      <c r="J11" s="291"/>
      <c r="K11" s="630">
        <f t="shared" si="0"/>
        <v>0</v>
      </c>
      <c r="L11" s="204"/>
    </row>
    <row r="12" spans="1:14" ht="21" customHeight="1">
      <c r="B12" s="417"/>
      <c r="C12" s="427"/>
      <c r="D12" s="417"/>
      <c r="E12" s="423"/>
      <c r="F12" s="291"/>
      <c r="G12" s="291"/>
      <c r="H12" s="291"/>
      <c r="I12" s="291"/>
      <c r="J12" s="291"/>
      <c r="K12" s="630">
        <f t="shared" si="0"/>
        <v>0</v>
      </c>
    </row>
    <row r="13" spans="1:14" ht="21" customHeight="1">
      <c r="B13" s="417"/>
      <c r="C13" s="427"/>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195" t="s">
        <v>3281</v>
      </c>
      <c r="B15" s="417"/>
      <c r="C15" s="418"/>
      <c r="D15" s="417"/>
      <c r="E15" s="423"/>
      <c r="F15" s="291"/>
      <c r="G15" s="291"/>
      <c r="H15" s="291"/>
      <c r="I15" s="291"/>
      <c r="J15" s="291"/>
      <c r="K15" s="630">
        <f t="shared" si="0"/>
        <v>0</v>
      </c>
    </row>
    <row r="16" spans="1:14" ht="21" customHeight="1">
      <c r="A16" s="1195"/>
      <c r="B16" s="417"/>
      <c r="C16" s="418"/>
      <c r="D16" s="417"/>
      <c r="E16" s="423"/>
      <c r="F16" s="291"/>
      <c r="G16" s="291"/>
      <c r="H16" s="291"/>
      <c r="I16" s="291"/>
      <c r="J16" s="291"/>
      <c r="K16" s="630">
        <f t="shared" si="0"/>
        <v>0</v>
      </c>
    </row>
    <row r="17" spans="1:12" ht="21" customHeight="1">
      <c r="A17" s="1195"/>
      <c r="B17" s="417"/>
      <c r="C17" s="418"/>
      <c r="D17" s="417"/>
      <c r="E17" s="423"/>
      <c r="F17" s="291"/>
      <c r="G17" s="291"/>
      <c r="H17" s="291"/>
      <c r="I17" s="291"/>
      <c r="J17" s="291"/>
      <c r="K17" s="630">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3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30">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row>
    <row r="25" spans="1:12" ht="21" customHeight="1">
      <c r="B25" s="417"/>
      <c r="C25" s="417"/>
      <c r="D25" s="417"/>
      <c r="E25" s="423"/>
      <c r="F25" s="291"/>
      <c r="G25" s="291"/>
      <c r="H25" s="291"/>
      <c r="I25" s="291"/>
      <c r="J25" s="291"/>
      <c r="K25" s="630">
        <f t="shared" si="0"/>
        <v>0</v>
      </c>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640">
        <f t="shared" si="1"/>
        <v>0</v>
      </c>
    </row>
    <row r="28" spans="1:12" ht="13.8" thickTop="1"/>
    <row r="29" spans="1:12">
      <c r="K29" s="204">
        <f>F27+G27-H27+I27-K27-J27</f>
        <v>0</v>
      </c>
    </row>
    <row r="30" spans="1:12">
      <c r="F30" s="204"/>
      <c r="G30" s="204"/>
      <c r="K30" s="204"/>
      <c r="L30" s="204"/>
    </row>
    <row r="31" spans="1:12">
      <c r="K31" s="204">
        <f>+F27+G27-H27-I27-J27-K27</f>
        <v>62236.160000000003</v>
      </c>
    </row>
    <row r="32" spans="1:12">
      <c r="G32" s="204"/>
    </row>
  </sheetData>
  <sheetProtection algorithmName="SHA-512" hashValue="rbgJwxMFh9uYI33NHgmEfTQEfLfzkbiwKUMZCtWRtro/Tt9I3aXaiHe3tXPIUxX+f5l/Ig2/MM6utiM3iVSQpw==" saltValue="welF4W7uC7TrLo4uWHXUF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FB78-15FB-4C9E-BB49-46946F7E930D}">
  <sheetPr codeName="Sheet55"/>
  <dimension ref="A2:N32"/>
  <sheetViews>
    <sheetView zoomScaleNormal="100" workbookViewId="0">
      <selection activeCell="G5" sqref="G5"/>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22" t="s">
        <v>3263</v>
      </c>
      <c r="C8" s="22"/>
      <c r="D8" s="22"/>
      <c r="E8" s="23"/>
      <c r="F8" s="657">
        <f>+'10.19-Grants Receivable'!F27</f>
        <v>0</v>
      </c>
      <c r="G8" s="657">
        <f>+'10.19-Grants Receivable'!G27</f>
        <v>31118.080000000002</v>
      </c>
      <c r="H8" s="657">
        <f>+'10.19-Grants Receivable'!H27</f>
        <v>0</v>
      </c>
      <c r="I8" s="657">
        <f>+'10.19-Grants Receivable'!I27</f>
        <v>-31118.080000000002</v>
      </c>
      <c r="J8" s="657">
        <f>+'10.19-Grants Receivable'!J27</f>
        <v>0</v>
      </c>
      <c r="K8" s="658">
        <f>+'10.19-Grants Receivable'!K27</f>
        <v>0</v>
      </c>
    </row>
    <row r="9" spans="1:14" ht="21" customHeight="1">
      <c r="B9" s="417"/>
      <c r="C9" s="417"/>
      <c r="D9" s="417"/>
      <c r="E9" s="423"/>
      <c r="F9" s="291"/>
      <c r="G9" s="291"/>
      <c r="H9" s="291"/>
      <c r="I9" s="291"/>
      <c r="J9" s="291"/>
      <c r="K9" s="630">
        <f t="shared" ref="K9:K26" si="0">+F9+G9-H9+I9-J9</f>
        <v>0</v>
      </c>
      <c r="L9" s="204"/>
    </row>
    <row r="10" spans="1:14" ht="21" customHeight="1">
      <c r="B10" s="417"/>
      <c r="C10" s="417"/>
      <c r="D10" s="417"/>
      <c r="E10" s="423"/>
      <c r="F10" s="291"/>
      <c r="G10" s="291"/>
      <c r="H10" s="291"/>
      <c r="I10" s="291"/>
      <c r="J10" s="291"/>
      <c r="K10" s="630">
        <f t="shared" si="0"/>
        <v>0</v>
      </c>
      <c r="N10" s="294"/>
    </row>
    <row r="11" spans="1:14" ht="21" customHeight="1">
      <c r="B11" s="417"/>
      <c r="C11" s="417"/>
      <c r="D11" s="417"/>
      <c r="E11" s="423"/>
      <c r="F11" s="291"/>
      <c r="G11" s="291"/>
      <c r="H11" s="291"/>
      <c r="I11" s="291"/>
      <c r="J11" s="291"/>
      <c r="K11" s="630">
        <f t="shared" si="0"/>
        <v>0</v>
      </c>
      <c r="L11" s="204"/>
    </row>
    <row r="12" spans="1:14" ht="21" customHeight="1">
      <c r="B12" s="417"/>
      <c r="C12" s="427"/>
      <c r="D12" s="417"/>
      <c r="E12" s="423"/>
      <c r="F12" s="291"/>
      <c r="G12" s="291"/>
      <c r="H12" s="291"/>
      <c r="I12" s="291"/>
      <c r="J12" s="291"/>
      <c r="K12" s="630">
        <f t="shared" si="0"/>
        <v>0</v>
      </c>
    </row>
    <row r="13" spans="1:14" ht="21" customHeight="1">
      <c r="B13" s="417"/>
      <c r="C13" s="427"/>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195" t="s">
        <v>3283</v>
      </c>
      <c r="B15" s="417"/>
      <c r="C15" s="418"/>
      <c r="D15" s="417"/>
      <c r="E15" s="423"/>
      <c r="F15" s="291"/>
      <c r="G15" s="291"/>
      <c r="H15" s="291"/>
      <c r="I15" s="291"/>
      <c r="J15" s="291"/>
      <c r="K15" s="630">
        <f t="shared" si="0"/>
        <v>0</v>
      </c>
    </row>
    <row r="16" spans="1:14" ht="21" customHeight="1">
      <c r="A16" s="1195"/>
      <c r="B16" s="417"/>
      <c r="C16" s="418"/>
      <c r="D16" s="417"/>
      <c r="E16" s="423"/>
      <c r="F16" s="291"/>
      <c r="G16" s="291"/>
      <c r="H16" s="291"/>
      <c r="I16" s="291"/>
      <c r="J16" s="291"/>
      <c r="K16" s="630">
        <f t="shared" si="0"/>
        <v>0</v>
      </c>
    </row>
    <row r="17" spans="1:12" ht="21" customHeight="1">
      <c r="A17" s="1195"/>
      <c r="B17" s="417"/>
      <c r="C17" s="418"/>
      <c r="D17" s="417"/>
      <c r="E17" s="423"/>
      <c r="F17" s="291"/>
      <c r="G17" s="291"/>
      <c r="H17" s="291"/>
      <c r="I17" s="291"/>
      <c r="J17" s="291"/>
      <c r="K17" s="630">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3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30">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row>
    <row r="25" spans="1:12" ht="21" customHeight="1">
      <c r="B25" s="417"/>
      <c r="C25" s="417"/>
      <c r="D25" s="417"/>
      <c r="E25" s="423"/>
      <c r="F25" s="291"/>
      <c r="G25" s="291"/>
      <c r="H25" s="291"/>
      <c r="I25" s="291"/>
      <c r="J25" s="291"/>
      <c r="K25" s="630">
        <f t="shared" si="0"/>
        <v>0</v>
      </c>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640">
        <f t="shared" si="1"/>
        <v>0</v>
      </c>
    </row>
    <row r="28" spans="1:12" ht="13.8" thickTop="1"/>
    <row r="29" spans="1:12">
      <c r="K29" s="204">
        <f>F27+G27-H27+I27-K27-J27</f>
        <v>0</v>
      </c>
    </row>
    <row r="30" spans="1:12">
      <c r="F30" s="204"/>
      <c r="G30" s="204"/>
      <c r="K30" s="204"/>
      <c r="L30" s="204"/>
    </row>
    <row r="31" spans="1:12">
      <c r="K31" s="204">
        <f>+F27+G27-H27-I27-J27-K27</f>
        <v>62236.160000000003</v>
      </c>
    </row>
    <row r="32" spans="1:12">
      <c r="G32" s="204"/>
    </row>
  </sheetData>
  <sheetProtection algorithmName="SHA-512" hashValue="P8v6lWeIm4wM2EkFcevglubOpXFASYEqB6fCmZuvbqmjcBYmIWWqq6hyDLkjT9uhm4D84eAtyMaDR3bK6uyxlA==" saltValue="LPkLLMTtHXhMwWfV7Nu6+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EF754-F287-4908-B538-85DF1A86459E}">
  <sheetPr codeName="Sheet56"/>
  <dimension ref="A2:N32"/>
  <sheetViews>
    <sheetView zoomScaleNormal="100" workbookViewId="0">
      <selection activeCell="G5" sqref="G5"/>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22" t="s">
        <v>3263</v>
      </c>
      <c r="C8" s="22"/>
      <c r="D8" s="22"/>
      <c r="E8" s="23"/>
      <c r="F8" s="657">
        <f>+'10.20-Grants Receivable'!F27</f>
        <v>0</v>
      </c>
      <c r="G8" s="657">
        <f>+'10.20-Grants Receivable'!G27</f>
        <v>31118.080000000002</v>
      </c>
      <c r="H8" s="657">
        <f>+'10.20-Grants Receivable'!H27</f>
        <v>0</v>
      </c>
      <c r="I8" s="657">
        <f>+'10.20-Grants Receivable'!I27</f>
        <v>-31118.080000000002</v>
      </c>
      <c r="J8" s="657">
        <f>+'10.20-Grants Receivable'!J27</f>
        <v>0</v>
      </c>
      <c r="K8" s="658">
        <f>+'10.20-Grants Receivable'!K27</f>
        <v>0</v>
      </c>
    </row>
    <row r="9" spans="1:14" ht="21" customHeight="1">
      <c r="B9" s="417"/>
      <c r="C9" s="417"/>
      <c r="D9" s="417"/>
      <c r="E9" s="423"/>
      <c r="F9" s="291"/>
      <c r="G9" s="291"/>
      <c r="H9" s="291"/>
      <c r="I9" s="291"/>
      <c r="J9" s="291"/>
      <c r="K9" s="630">
        <f t="shared" ref="K9:K26" si="0">+F9+G9-H9+I9-J9</f>
        <v>0</v>
      </c>
      <c r="L9" s="204"/>
    </row>
    <row r="10" spans="1:14" ht="21" customHeight="1">
      <c r="B10" s="417"/>
      <c r="C10" s="417"/>
      <c r="D10" s="417"/>
      <c r="E10" s="423"/>
      <c r="F10" s="291"/>
      <c r="G10" s="291"/>
      <c r="H10" s="291"/>
      <c r="I10" s="291"/>
      <c r="J10" s="291"/>
      <c r="K10" s="630">
        <f t="shared" si="0"/>
        <v>0</v>
      </c>
      <c r="N10" s="294"/>
    </row>
    <row r="11" spans="1:14" ht="21" customHeight="1">
      <c r="B11" s="417"/>
      <c r="C11" s="417"/>
      <c r="D11" s="417"/>
      <c r="E11" s="423"/>
      <c r="F11" s="291"/>
      <c r="G11" s="291"/>
      <c r="H11" s="291"/>
      <c r="I11" s="291"/>
      <c r="J11" s="291"/>
      <c r="K11" s="630">
        <f t="shared" si="0"/>
        <v>0</v>
      </c>
      <c r="L11" s="204"/>
    </row>
    <row r="12" spans="1:14" ht="21" customHeight="1">
      <c r="B12" s="417"/>
      <c r="C12" s="427"/>
      <c r="D12" s="417"/>
      <c r="E12" s="423"/>
      <c r="F12" s="291"/>
      <c r="G12" s="291"/>
      <c r="H12" s="291"/>
      <c r="I12" s="291"/>
      <c r="J12" s="291"/>
      <c r="K12" s="630">
        <f t="shared" si="0"/>
        <v>0</v>
      </c>
    </row>
    <row r="13" spans="1:14" ht="21" customHeight="1">
      <c r="B13" s="417"/>
      <c r="C13" s="427"/>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195" t="s">
        <v>3284</v>
      </c>
      <c r="B15" s="417"/>
      <c r="C15" s="418"/>
      <c r="D15" s="417"/>
      <c r="E15" s="423"/>
      <c r="F15" s="291"/>
      <c r="G15" s="291"/>
      <c r="H15" s="291"/>
      <c r="I15" s="291"/>
      <c r="J15" s="291"/>
      <c r="K15" s="630">
        <f t="shared" si="0"/>
        <v>0</v>
      </c>
    </row>
    <row r="16" spans="1:14" ht="21" customHeight="1">
      <c r="A16" s="1195"/>
      <c r="B16" s="417"/>
      <c r="C16" s="418"/>
      <c r="D16" s="417"/>
      <c r="E16" s="423"/>
      <c r="F16" s="291"/>
      <c r="G16" s="291"/>
      <c r="H16" s="291"/>
      <c r="I16" s="291"/>
      <c r="J16" s="291"/>
      <c r="K16" s="630">
        <f t="shared" si="0"/>
        <v>0</v>
      </c>
    </row>
    <row r="17" spans="1:12" ht="21" customHeight="1">
      <c r="A17" s="1195"/>
      <c r="B17" s="417"/>
      <c r="C17" s="418"/>
      <c r="D17" s="417"/>
      <c r="E17" s="423"/>
      <c r="F17" s="291"/>
      <c r="G17" s="291"/>
      <c r="H17" s="291"/>
      <c r="I17" s="291"/>
      <c r="J17" s="291"/>
      <c r="K17" s="630">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3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30">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row>
    <row r="25" spans="1:12" ht="21" customHeight="1">
      <c r="B25" s="417"/>
      <c r="C25" s="417"/>
      <c r="D25" s="417"/>
      <c r="E25" s="423"/>
      <c r="F25" s="291"/>
      <c r="G25" s="291"/>
      <c r="H25" s="291"/>
      <c r="I25" s="291"/>
      <c r="J25" s="291"/>
      <c r="K25" s="630">
        <f t="shared" si="0"/>
        <v>0</v>
      </c>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640">
        <f t="shared" si="1"/>
        <v>0</v>
      </c>
    </row>
    <row r="28" spans="1:12" ht="13.8" thickTop="1"/>
    <row r="29" spans="1:12">
      <c r="K29" s="204"/>
    </row>
    <row r="30" spans="1:12">
      <c r="F30" s="204"/>
      <c r="G30" s="204"/>
      <c r="K30" s="204"/>
      <c r="L30" s="204"/>
    </row>
    <row r="31" spans="1:12">
      <c r="K31" s="204"/>
    </row>
    <row r="32" spans="1:12">
      <c r="G32" s="204"/>
    </row>
  </sheetData>
  <sheetProtection algorithmName="SHA-512" hashValue="KLwWcPyAVz2w8Nc2hMm59GxG8A2l1auE8D5Ze9CC3qRuC3KBAvfwWJdMXBDvTwGc3nZUo9TgvWAtfDjprCaQNw==" saltValue="nKRyeKzr4WwYragjgYmlx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4EFA7-939C-4D62-9E83-A0A59EED9D5B}">
  <sheetPr codeName="Sheet57"/>
  <dimension ref="A2:N32"/>
  <sheetViews>
    <sheetView zoomScaleNormal="100" workbookViewId="0">
      <selection activeCell="G5" sqref="G5"/>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22" t="s">
        <v>3263</v>
      </c>
      <c r="C8" s="22"/>
      <c r="D8" s="22"/>
      <c r="E8" s="23"/>
      <c r="F8" s="657">
        <f>+'10.21-Grants Receivable'!F27</f>
        <v>0</v>
      </c>
      <c r="G8" s="657">
        <f>+'10.21-Grants Receivable'!G27</f>
        <v>31118.080000000002</v>
      </c>
      <c r="H8" s="657">
        <f>+'10.21-Grants Receivable'!H27</f>
        <v>0</v>
      </c>
      <c r="I8" s="657">
        <f>+'10.21-Grants Receivable'!I27</f>
        <v>-31118.080000000002</v>
      </c>
      <c r="J8" s="657">
        <f>+'10.21-Grants Receivable'!J27</f>
        <v>0</v>
      </c>
      <c r="K8" s="658">
        <f>+'10.21-Grants Receivable'!K27</f>
        <v>0</v>
      </c>
    </row>
    <row r="9" spans="1:14" ht="21" customHeight="1">
      <c r="B9" s="417"/>
      <c r="C9" s="417"/>
      <c r="D9" s="417"/>
      <c r="E9" s="423"/>
      <c r="F9" s="291"/>
      <c r="G9" s="291"/>
      <c r="H9" s="291"/>
      <c r="I9" s="291"/>
      <c r="J9" s="291"/>
      <c r="K9" s="630">
        <f t="shared" ref="K9:K26" si="0">+F9+G9-H9+I9-J9</f>
        <v>0</v>
      </c>
      <c r="L9" s="204"/>
    </row>
    <row r="10" spans="1:14" ht="21" customHeight="1">
      <c r="B10" s="417"/>
      <c r="C10" s="417"/>
      <c r="D10" s="417"/>
      <c r="E10" s="423"/>
      <c r="F10" s="291"/>
      <c r="G10" s="291"/>
      <c r="H10" s="291"/>
      <c r="I10" s="291"/>
      <c r="J10" s="291"/>
      <c r="K10" s="630">
        <f t="shared" si="0"/>
        <v>0</v>
      </c>
      <c r="N10" s="294"/>
    </row>
    <row r="11" spans="1:14" ht="21" customHeight="1">
      <c r="B11" s="417"/>
      <c r="C11" s="417"/>
      <c r="D11" s="417"/>
      <c r="E11" s="423"/>
      <c r="F11" s="291"/>
      <c r="G11" s="291"/>
      <c r="H11" s="291"/>
      <c r="I11" s="291"/>
      <c r="J11" s="291"/>
      <c r="K11" s="630">
        <f t="shared" si="0"/>
        <v>0</v>
      </c>
      <c r="L11" s="204"/>
    </row>
    <row r="12" spans="1:14" ht="21" customHeight="1">
      <c r="B12" s="417"/>
      <c r="C12" s="427"/>
      <c r="D12" s="417"/>
      <c r="E12" s="423"/>
      <c r="F12" s="291"/>
      <c r="G12" s="291"/>
      <c r="H12" s="291"/>
      <c r="I12" s="291"/>
      <c r="J12" s="291"/>
      <c r="K12" s="630">
        <f t="shared" si="0"/>
        <v>0</v>
      </c>
    </row>
    <row r="13" spans="1:14" ht="21" customHeight="1">
      <c r="B13" s="417"/>
      <c r="C13" s="427"/>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195" t="s">
        <v>3285</v>
      </c>
      <c r="B15" s="417"/>
      <c r="C15" s="418"/>
      <c r="D15" s="417"/>
      <c r="E15" s="423"/>
      <c r="F15" s="291"/>
      <c r="G15" s="291"/>
      <c r="H15" s="291"/>
      <c r="I15" s="291"/>
      <c r="J15" s="291"/>
      <c r="K15" s="630">
        <f t="shared" si="0"/>
        <v>0</v>
      </c>
    </row>
    <row r="16" spans="1:14" ht="21" customHeight="1">
      <c r="A16" s="1195"/>
      <c r="B16" s="417"/>
      <c r="C16" s="418"/>
      <c r="D16" s="417"/>
      <c r="E16" s="423"/>
      <c r="F16" s="291"/>
      <c r="G16" s="291"/>
      <c r="H16" s="291"/>
      <c r="I16" s="291"/>
      <c r="J16" s="291"/>
      <c r="K16" s="630">
        <f t="shared" si="0"/>
        <v>0</v>
      </c>
    </row>
    <row r="17" spans="1:12" ht="21" customHeight="1">
      <c r="A17" s="1195"/>
      <c r="B17" s="417"/>
      <c r="C17" s="418"/>
      <c r="D17" s="417"/>
      <c r="E17" s="423"/>
      <c r="F17" s="291"/>
      <c r="G17" s="291"/>
      <c r="H17" s="291"/>
      <c r="I17" s="291"/>
      <c r="J17" s="291"/>
      <c r="K17" s="630">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3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30">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row>
    <row r="25" spans="1:12" ht="21" customHeight="1">
      <c r="B25" s="417"/>
      <c r="C25" s="417"/>
      <c r="D25" s="417"/>
      <c r="E25" s="423"/>
      <c r="F25" s="291"/>
      <c r="G25" s="291"/>
      <c r="H25" s="291"/>
      <c r="I25" s="291"/>
      <c r="J25" s="291"/>
      <c r="K25" s="630">
        <f t="shared" si="0"/>
        <v>0</v>
      </c>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640">
        <f t="shared" si="1"/>
        <v>0</v>
      </c>
    </row>
    <row r="28" spans="1:12" ht="13.8" thickTop="1"/>
    <row r="29" spans="1:12">
      <c r="K29" s="204"/>
    </row>
    <row r="30" spans="1:12">
      <c r="F30" s="204"/>
      <c r="G30" s="204"/>
      <c r="K30" s="204"/>
      <c r="L30" s="204"/>
    </row>
    <row r="31" spans="1:12">
      <c r="K31" s="204"/>
    </row>
    <row r="32" spans="1:12">
      <c r="G32" s="204"/>
    </row>
  </sheetData>
  <sheetProtection algorithmName="SHA-512" hashValue="bqoBozMoMSuL9FPj5n0TJMZUuec+AYdxzQJg1yhEz236iMlbva2MNGTlNRQ1Z78l6MH4o/A8tPBkQeKZf2o6LA==" saltValue="peh788GqLGPbpVn/j7Gx4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664CF-3E97-4638-A5FB-1EBB9EF61382}">
  <sheetPr codeName="Sheet58"/>
  <dimension ref="A2:N32"/>
  <sheetViews>
    <sheetView zoomScaleNormal="100" workbookViewId="0">
      <selection activeCell="G5" sqref="G5"/>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22" t="s">
        <v>3263</v>
      </c>
      <c r="C8" s="22"/>
      <c r="D8" s="22"/>
      <c r="E8" s="23"/>
      <c r="F8" s="657">
        <f>+'10.22-Grants Receivable'!F27</f>
        <v>0</v>
      </c>
      <c r="G8" s="657">
        <f>+'10.22-Grants Receivable'!G27</f>
        <v>31118.080000000002</v>
      </c>
      <c r="H8" s="657">
        <f>+'10.22-Grants Receivable'!H27</f>
        <v>0</v>
      </c>
      <c r="I8" s="657">
        <f>+'10.22-Grants Receivable'!I27</f>
        <v>-31118.080000000002</v>
      </c>
      <c r="J8" s="657">
        <f>+'10.22-Grants Receivable'!J27</f>
        <v>0</v>
      </c>
      <c r="K8" s="658">
        <f>+'10.22-Grants Receivable'!K27</f>
        <v>0</v>
      </c>
    </row>
    <row r="9" spans="1:14" ht="21" customHeight="1">
      <c r="B9" s="417"/>
      <c r="C9" s="417"/>
      <c r="D9" s="417"/>
      <c r="E9" s="423"/>
      <c r="F9" s="291"/>
      <c r="G9" s="291"/>
      <c r="H9" s="291"/>
      <c r="I9" s="291"/>
      <c r="J9" s="291"/>
      <c r="K9" s="630">
        <f t="shared" ref="K9:K26" si="0">+F9+G9-H9+I9-J9</f>
        <v>0</v>
      </c>
      <c r="L9" s="204"/>
    </row>
    <row r="10" spans="1:14" ht="21" customHeight="1">
      <c r="B10" s="417"/>
      <c r="C10" s="417"/>
      <c r="D10" s="417"/>
      <c r="E10" s="423"/>
      <c r="F10" s="291"/>
      <c r="G10" s="291"/>
      <c r="H10" s="291"/>
      <c r="I10" s="291"/>
      <c r="J10" s="291"/>
      <c r="K10" s="630">
        <f t="shared" si="0"/>
        <v>0</v>
      </c>
      <c r="N10" s="294"/>
    </row>
    <row r="11" spans="1:14" ht="21" customHeight="1">
      <c r="B11" s="417"/>
      <c r="C11" s="417"/>
      <c r="D11" s="417"/>
      <c r="E11" s="423"/>
      <c r="F11" s="291"/>
      <c r="G11" s="291"/>
      <c r="H11" s="291"/>
      <c r="I11" s="291"/>
      <c r="J11" s="291"/>
      <c r="K11" s="630">
        <f t="shared" si="0"/>
        <v>0</v>
      </c>
      <c r="L11" s="204"/>
    </row>
    <row r="12" spans="1:14" ht="21" customHeight="1">
      <c r="B12" s="417"/>
      <c r="C12" s="427"/>
      <c r="D12" s="417"/>
      <c r="E12" s="423"/>
      <c r="F12" s="291"/>
      <c r="G12" s="291"/>
      <c r="H12" s="291"/>
      <c r="I12" s="291"/>
      <c r="J12" s="291"/>
      <c r="K12" s="630">
        <f t="shared" si="0"/>
        <v>0</v>
      </c>
    </row>
    <row r="13" spans="1:14" ht="21" customHeight="1">
      <c r="B13" s="417"/>
      <c r="C13" s="427"/>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195" t="s">
        <v>3286</v>
      </c>
      <c r="B15" s="417"/>
      <c r="C15" s="418"/>
      <c r="D15" s="417"/>
      <c r="E15" s="423"/>
      <c r="F15" s="291"/>
      <c r="G15" s="291"/>
      <c r="H15" s="291"/>
      <c r="I15" s="291"/>
      <c r="J15" s="291"/>
      <c r="K15" s="630">
        <f t="shared" si="0"/>
        <v>0</v>
      </c>
    </row>
    <row r="16" spans="1:14" ht="21" customHeight="1">
      <c r="A16" s="1195"/>
      <c r="B16" s="417"/>
      <c r="C16" s="418"/>
      <c r="D16" s="417"/>
      <c r="E16" s="423"/>
      <c r="F16" s="291"/>
      <c r="G16" s="291"/>
      <c r="H16" s="291"/>
      <c r="I16" s="291"/>
      <c r="J16" s="291"/>
      <c r="K16" s="630">
        <f t="shared" si="0"/>
        <v>0</v>
      </c>
    </row>
    <row r="17" spans="1:12" ht="21" customHeight="1">
      <c r="A17" s="1195"/>
      <c r="B17" s="417"/>
      <c r="C17" s="418"/>
      <c r="D17" s="417"/>
      <c r="E17" s="423"/>
      <c r="F17" s="291"/>
      <c r="G17" s="291"/>
      <c r="H17" s="291"/>
      <c r="I17" s="291"/>
      <c r="J17" s="291"/>
      <c r="K17" s="630">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3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30">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row>
    <row r="25" spans="1:12" ht="21" customHeight="1">
      <c r="B25" s="417"/>
      <c r="C25" s="417"/>
      <c r="D25" s="417"/>
      <c r="E25" s="423"/>
      <c r="F25" s="291"/>
      <c r="G25" s="291"/>
      <c r="H25" s="291"/>
      <c r="I25" s="291"/>
      <c r="J25" s="291"/>
      <c r="K25" s="630">
        <f t="shared" si="0"/>
        <v>0</v>
      </c>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640">
        <f t="shared" si="1"/>
        <v>0</v>
      </c>
    </row>
    <row r="28" spans="1:12" ht="13.8" thickTop="1"/>
    <row r="29" spans="1:12">
      <c r="K29" s="204"/>
    </row>
    <row r="30" spans="1:12">
      <c r="F30" s="204"/>
      <c r="G30" s="204"/>
      <c r="K30" s="204"/>
      <c r="L30" s="204"/>
    </row>
    <row r="31" spans="1:12">
      <c r="K31" s="204"/>
    </row>
    <row r="32" spans="1:12">
      <c r="G32" s="204"/>
    </row>
  </sheetData>
  <sheetProtection algorithmName="SHA-512" hashValue="5ao+BGaeIj/YtK4YxE+hIc+1Ljr0VU8gu7rf0Gj0GXEd/0VynDuMTh7xAe/jRW/shf24SWYQ8jFrc0lvqoajMA==" saltValue="3GpQF10W68rgj96pp5zGA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88382-B2E0-4C50-89DA-47F48D2BBF0D}">
  <sheetPr codeName="Sheet59"/>
  <dimension ref="A2:N32"/>
  <sheetViews>
    <sheetView zoomScaleNormal="100" workbookViewId="0">
      <selection activeCell="F22" sqref="F22"/>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22" t="s">
        <v>3263</v>
      </c>
      <c r="C8" s="22"/>
      <c r="D8" s="22"/>
      <c r="E8" s="23"/>
      <c r="F8" s="657">
        <f>+'10.23-Grants Receivable'!F27</f>
        <v>0</v>
      </c>
      <c r="G8" s="657">
        <f>+'10.23-Grants Receivable'!G27</f>
        <v>31118.080000000002</v>
      </c>
      <c r="H8" s="657">
        <f>+'10.23-Grants Receivable'!H27</f>
        <v>0</v>
      </c>
      <c r="I8" s="657">
        <f>+'10.23-Grants Receivable'!I27</f>
        <v>-31118.080000000002</v>
      </c>
      <c r="J8" s="657">
        <f>+'10.23-Grants Receivable'!J27</f>
        <v>0</v>
      </c>
      <c r="K8" s="658">
        <f>+'10.23-Grants Receivable'!K27</f>
        <v>0</v>
      </c>
    </row>
    <row r="9" spans="1:14" ht="21" customHeight="1">
      <c r="B9" s="417"/>
      <c r="C9" s="417"/>
      <c r="D9" s="417"/>
      <c r="E9" s="423"/>
      <c r="F9" s="291"/>
      <c r="G9" s="291"/>
      <c r="H9" s="291"/>
      <c r="I9" s="291"/>
      <c r="J9" s="291"/>
      <c r="K9" s="630">
        <f t="shared" ref="K9:K26" si="0">+F9+G9-H9+I9-J9</f>
        <v>0</v>
      </c>
      <c r="L9" s="204"/>
    </row>
    <row r="10" spans="1:14" ht="21" customHeight="1">
      <c r="B10" s="417"/>
      <c r="C10" s="417"/>
      <c r="D10" s="417"/>
      <c r="E10" s="423"/>
      <c r="F10" s="291"/>
      <c r="G10" s="291"/>
      <c r="H10" s="291"/>
      <c r="I10" s="291"/>
      <c r="J10" s="291"/>
      <c r="K10" s="630">
        <f t="shared" si="0"/>
        <v>0</v>
      </c>
      <c r="N10" s="294"/>
    </row>
    <row r="11" spans="1:14" ht="21" customHeight="1">
      <c r="B11" s="417"/>
      <c r="C11" s="417"/>
      <c r="D11" s="417"/>
      <c r="E11" s="423"/>
      <c r="F11" s="291"/>
      <c r="G11" s="291"/>
      <c r="H11" s="291"/>
      <c r="I11" s="291"/>
      <c r="J11" s="291"/>
      <c r="K11" s="630">
        <f t="shared" si="0"/>
        <v>0</v>
      </c>
      <c r="L11" s="204"/>
    </row>
    <row r="12" spans="1:14" ht="21" customHeight="1">
      <c r="B12" s="417"/>
      <c r="C12" s="1099"/>
      <c r="D12" s="417"/>
      <c r="E12" s="423"/>
      <c r="F12" s="291"/>
      <c r="G12" s="291"/>
      <c r="H12" s="291"/>
      <c r="I12" s="291"/>
      <c r="J12" s="291"/>
      <c r="K12" s="630">
        <f t="shared" si="0"/>
        <v>0</v>
      </c>
    </row>
    <row r="13" spans="1:14" ht="21" customHeight="1">
      <c r="B13" s="417"/>
      <c r="C13" s="1099"/>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195" t="s">
        <v>3287</v>
      </c>
      <c r="B15" s="417"/>
      <c r="C15" s="418"/>
      <c r="D15" s="417"/>
      <c r="E15" s="423"/>
      <c r="F15" s="291"/>
      <c r="G15" s="291"/>
      <c r="H15" s="291"/>
      <c r="I15" s="291"/>
      <c r="J15" s="291"/>
      <c r="K15" s="630">
        <f t="shared" si="0"/>
        <v>0</v>
      </c>
    </row>
    <row r="16" spans="1:14" ht="21" customHeight="1">
      <c r="A16" s="1195"/>
      <c r="B16" s="417"/>
      <c r="C16" s="418"/>
      <c r="D16" s="417"/>
      <c r="E16" s="423"/>
      <c r="F16" s="291"/>
      <c r="G16" s="291"/>
      <c r="H16" s="291"/>
      <c r="I16" s="291"/>
      <c r="J16" s="291"/>
      <c r="K16" s="630">
        <f t="shared" si="0"/>
        <v>0</v>
      </c>
    </row>
    <row r="17" spans="1:12" ht="21" customHeight="1">
      <c r="A17" s="1195"/>
      <c r="B17" s="417"/>
      <c r="C17" s="418"/>
      <c r="D17" s="417"/>
      <c r="E17" s="423"/>
      <c r="F17" s="291"/>
      <c r="G17" s="291"/>
      <c r="H17" s="291"/>
      <c r="I17" s="291"/>
      <c r="J17" s="291"/>
      <c r="K17" s="630">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3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30">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row>
    <row r="25" spans="1:12" ht="21" customHeight="1">
      <c r="B25" s="417"/>
      <c r="C25" s="417"/>
      <c r="D25" s="417"/>
      <c r="E25" s="423"/>
      <c r="F25" s="291"/>
      <c r="G25" s="291"/>
      <c r="H25" s="291"/>
      <c r="I25" s="291"/>
      <c r="J25" s="291"/>
      <c r="K25" s="630">
        <f t="shared" si="0"/>
        <v>0</v>
      </c>
    </row>
    <row r="26" spans="1:12" ht="21" customHeight="1">
      <c r="B26" s="417"/>
      <c r="C26" s="417"/>
      <c r="D26" s="417"/>
      <c r="E26" s="423"/>
      <c r="F26" s="291"/>
      <c r="G26" s="291"/>
      <c r="H26" s="291"/>
      <c r="I26" s="291"/>
      <c r="J26" s="291"/>
      <c r="K26" s="630">
        <f t="shared" si="0"/>
        <v>0</v>
      </c>
    </row>
    <row r="27" spans="1:12" ht="21" customHeight="1" thickBot="1">
      <c r="B27" s="27"/>
      <c r="C27" s="27" t="s">
        <v>3262</v>
      </c>
      <c r="D27" s="27"/>
      <c r="E27" s="41"/>
      <c r="F27" s="95">
        <f t="shared" ref="F27:K27" si="1">SUM(F8:F26)</f>
        <v>0</v>
      </c>
      <c r="G27" s="95">
        <f t="shared" si="1"/>
        <v>31118.080000000002</v>
      </c>
      <c r="H27" s="95">
        <f t="shared" si="1"/>
        <v>0</v>
      </c>
      <c r="I27" s="95">
        <f t="shared" si="1"/>
        <v>-31118.080000000002</v>
      </c>
      <c r="J27" s="95">
        <f t="shared" si="1"/>
        <v>0</v>
      </c>
      <c r="K27" s="640">
        <f t="shared" si="1"/>
        <v>0</v>
      </c>
    </row>
    <row r="28" spans="1:12" ht="13.8" thickTop="1"/>
    <row r="29" spans="1:12">
      <c r="K29" s="204"/>
    </row>
    <row r="30" spans="1:12">
      <c r="F30" s="204"/>
      <c r="G30" s="204"/>
      <c r="K30" s="204"/>
      <c r="L30" s="204"/>
    </row>
    <row r="31" spans="1:12">
      <c r="K31" s="204"/>
    </row>
    <row r="32" spans="1:12">
      <c r="G32" s="204"/>
    </row>
  </sheetData>
  <sheetProtection algorithmName="SHA-512" hashValue="hBYeCmFs3bO4QA7zIko/3V3WraITC4PwA1DPAXSD2wl9TP1s5IQGvliWh4Yyp3mklQUNvdckCY3LaJOMs3GVhA==" saltValue="8q1kHi5nW6x7Up9urLD3HQ=="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3:Y70"/>
  <sheetViews>
    <sheetView zoomScaleNormal="100" workbookViewId="0">
      <selection activeCell="C62" sqref="C62"/>
    </sheetView>
  </sheetViews>
  <sheetFormatPr defaultRowHeight="13.2"/>
  <cols>
    <col min="2" max="2" width="4" customWidth="1"/>
    <col min="3" max="3" width="5.44140625" customWidth="1"/>
    <col min="4" max="4" width="3.6640625" customWidth="1"/>
    <col min="5" max="5" width="8.33203125" customWidth="1"/>
    <col min="6" max="6" width="7" customWidth="1"/>
    <col min="7" max="7" width="10.5546875" customWidth="1"/>
    <col min="8" max="8" width="5.33203125" customWidth="1"/>
    <col min="12" max="12" width="10.88671875" customWidth="1"/>
    <col min="14" max="14" width="1.88671875" customWidth="1"/>
    <col min="17" max="17" width="0" hidden="1" customWidth="1"/>
    <col min="25" max="25" width="0" hidden="1" customWidth="1"/>
  </cols>
  <sheetData>
    <row r="3" spans="2:14" ht="17.399999999999999">
      <c r="B3" s="171" t="s">
        <v>4</v>
      </c>
      <c r="C3" s="171"/>
      <c r="D3" s="171"/>
      <c r="E3" s="171"/>
      <c r="F3" s="171"/>
      <c r="G3" s="171"/>
      <c r="H3" s="171"/>
      <c r="I3" s="171"/>
      <c r="J3" s="171"/>
      <c r="K3" s="171"/>
      <c r="L3" s="171"/>
      <c r="M3" s="171"/>
      <c r="N3" s="171"/>
    </row>
    <row r="5" spans="2:14">
      <c r="B5" s="37" t="s">
        <v>265</v>
      </c>
    </row>
    <row r="8" spans="2:14" ht="13.8">
      <c r="B8" s="89" t="s">
        <v>644</v>
      </c>
    </row>
    <row r="9" spans="2:14" ht="13.8">
      <c r="B9" s="89" t="s">
        <v>510</v>
      </c>
    </row>
    <row r="10" spans="2:14" ht="13.8">
      <c r="B10" s="89" t="s">
        <v>819</v>
      </c>
      <c r="C10" s="89"/>
      <c r="D10" s="89"/>
      <c r="E10" s="89"/>
      <c r="F10" s="1130" t="str">
        <f>+'KEY INPUTS'!D12</f>
        <v>BOROUGH</v>
      </c>
      <c r="G10" s="1130"/>
      <c r="H10" s="170" t="s">
        <v>540</v>
      </c>
      <c r="I10" s="1130" t="str">
        <f>+'KEY INPUTS'!D11</f>
        <v>MILFORD</v>
      </c>
      <c r="J10" s="1130"/>
      <c r="K10" s="1130"/>
      <c r="L10" s="1130"/>
      <c r="M10" s="89"/>
      <c r="N10" s="89"/>
    </row>
    <row r="11" spans="2:14" ht="13.8">
      <c r="B11" s="89" t="str">
        <f>"as of "&amp;IF('KEY INPUTS'!C42 = "State Fiscal Year",'KEY INPUTS'!F47,"as of December 31, "&amp;'KEY INPUTS'!D34&amp;"")&amp;" and have applied certain agreed-upon procedures thereon as"</f>
        <v>as of as of December 31, 2024 and have applied certain agreed-upon procedures thereon as</v>
      </c>
      <c r="C11" s="89"/>
      <c r="D11" s="89"/>
      <c r="E11" s="89"/>
      <c r="F11" s="1044"/>
      <c r="G11" s="89"/>
      <c r="H11" s="89"/>
      <c r="I11" s="89"/>
      <c r="J11" s="89"/>
      <c r="K11" s="89"/>
      <c r="L11" s="89"/>
      <c r="M11" s="89"/>
    </row>
    <row r="12" spans="2:14" ht="13.8">
      <c r="B12" s="89" t="s">
        <v>282</v>
      </c>
      <c r="C12" s="89"/>
      <c r="D12" s="89"/>
      <c r="E12" s="89"/>
      <c r="F12" s="89"/>
      <c r="G12" s="89"/>
      <c r="H12" s="89"/>
      <c r="I12" s="89"/>
      <c r="J12" s="89"/>
      <c r="K12" s="89"/>
      <c r="L12" s="89"/>
      <c r="M12" s="89"/>
    </row>
    <row r="13" spans="2:14" ht="13.8">
      <c r="B13" s="89" t="s">
        <v>283</v>
      </c>
      <c r="C13" s="89"/>
      <c r="D13" s="89"/>
      <c r="E13" s="89"/>
      <c r="F13" s="89"/>
      <c r="G13" s="89"/>
      <c r="H13" s="89"/>
      <c r="I13" s="89"/>
      <c r="J13" s="89"/>
      <c r="K13" s="89"/>
      <c r="L13" s="89"/>
      <c r="M13" s="89"/>
    </row>
    <row r="14" spans="2:14" ht="13.8">
      <c r="B14" s="89" t="s">
        <v>3553</v>
      </c>
      <c r="C14" s="89"/>
      <c r="D14" s="89"/>
      <c r="E14" s="89"/>
      <c r="F14" s="89"/>
      <c r="G14" s="89"/>
      <c r="H14" s="89"/>
      <c r="I14" s="89"/>
      <c r="J14" s="89"/>
      <c r="K14" s="89"/>
      <c r="L14" s="89"/>
      <c r="M14" s="89"/>
    </row>
    <row r="17" spans="2:25" ht="13.8">
      <c r="B17" s="89" t="s">
        <v>285</v>
      </c>
      <c r="C17" s="89"/>
      <c r="D17" s="89"/>
      <c r="E17" s="89"/>
      <c r="F17" s="89"/>
      <c r="G17" s="89"/>
      <c r="H17" s="89"/>
      <c r="I17" s="89"/>
      <c r="J17" s="89"/>
      <c r="K17" s="89"/>
      <c r="L17" s="89"/>
      <c r="M17" s="89"/>
    </row>
    <row r="18" spans="2:25" ht="13.8">
      <c r="B18" s="89" t="s">
        <v>286</v>
      </c>
      <c r="C18" s="89"/>
      <c r="D18" s="89"/>
      <c r="E18" s="89"/>
      <c r="F18" s="89"/>
      <c r="G18" s="89"/>
      <c r="H18" s="89"/>
      <c r="I18" s="89"/>
      <c r="J18" s="89"/>
      <c r="K18" s="89"/>
      <c r="L18" s="89"/>
      <c r="M18" s="89"/>
    </row>
    <row r="19" spans="2:25" ht="13.8">
      <c r="B19" s="89" t="s">
        <v>723</v>
      </c>
      <c r="C19" s="89"/>
      <c r="D19" s="89"/>
      <c r="E19" s="89"/>
      <c r="F19" s="89"/>
      <c r="G19" s="89"/>
      <c r="H19" s="89"/>
      <c r="I19" s="89"/>
      <c r="J19" s="89"/>
      <c r="K19" s="89"/>
      <c r="L19" s="89"/>
      <c r="M19" s="89"/>
    </row>
    <row r="20" spans="2:25" ht="13.8">
      <c r="B20" s="89" t="s">
        <v>3379</v>
      </c>
      <c r="C20" s="89"/>
      <c r="D20" s="89"/>
      <c r="E20" s="89"/>
      <c r="F20" s="89"/>
      <c r="G20" s="89" t="s">
        <v>3380</v>
      </c>
      <c r="H20" s="89"/>
      <c r="I20" s="89"/>
      <c r="J20" s="89"/>
      <c r="K20" s="89"/>
      <c r="L20" s="89"/>
      <c r="M20" s="89" t="s">
        <v>374</v>
      </c>
      <c r="Q20" s="550" t="s">
        <v>3347</v>
      </c>
    </row>
    <row r="21" spans="2:25" ht="13.8">
      <c r="B21" s="89" t="s">
        <v>3377</v>
      </c>
      <c r="C21" s="89"/>
      <c r="D21" s="89"/>
      <c r="E21" s="88" t="s">
        <v>3381</v>
      </c>
      <c r="F21" s="89"/>
      <c r="G21" s="89" t="s">
        <v>3382</v>
      </c>
      <c r="I21" s="89"/>
      <c r="J21" s="89"/>
      <c r="K21" s="89"/>
      <c r="L21" s="89"/>
      <c r="M21" s="89"/>
      <c r="P21" s="112" t="s">
        <v>3395</v>
      </c>
    </row>
    <row r="22" spans="2:25" ht="13.8">
      <c r="B22" s="89" t="str">
        <f>"Financial Statement for the year ended "&amp;IF('KEY INPUTS'!C42 = "State Fiscal Year", 'KEY INPUTS'!F47, "December 31, "&amp;'KEY INPUTS'!D34&amp;"")&amp;" is not in substantial compliance with the"</f>
        <v>Financial Statement for the year ended December 31, 2024 is not in substantial compliance with the</v>
      </c>
      <c r="C22" s="89"/>
      <c r="D22" s="89"/>
      <c r="E22" s="89"/>
      <c r="F22" s="89"/>
      <c r="G22" s="89"/>
      <c r="H22" s="1045"/>
      <c r="I22" s="89"/>
      <c r="J22" s="89"/>
      <c r="K22" s="89"/>
      <c r="L22" s="89"/>
      <c r="M22" s="89"/>
      <c r="P22" s="112" t="s">
        <v>3378</v>
      </c>
      <c r="Y22" s="239" t="s">
        <v>3376</v>
      </c>
    </row>
    <row r="23" spans="2:25" ht="13.8">
      <c r="B23" s="89" t="s">
        <v>732</v>
      </c>
      <c r="C23" s="89"/>
      <c r="D23" s="89"/>
      <c r="E23" s="89"/>
      <c r="F23" s="89"/>
      <c r="G23" s="89"/>
      <c r="H23" s="89"/>
      <c r="I23" s="89"/>
      <c r="J23" s="89"/>
      <c r="K23" s="89"/>
      <c r="L23" s="89"/>
      <c r="M23" s="89"/>
      <c r="P23" s="620" t="s">
        <v>3795</v>
      </c>
      <c r="Y23" s="239" t="s">
        <v>3377</v>
      </c>
    </row>
    <row r="24" spans="2:25" ht="13.8">
      <c r="B24" s="89" t="s">
        <v>664</v>
      </c>
      <c r="C24" s="89"/>
      <c r="D24" s="89"/>
      <c r="E24" s="89"/>
      <c r="F24" s="89"/>
      <c r="G24" s="89"/>
      <c r="H24" s="89"/>
      <c r="I24" s="89"/>
      <c r="J24" s="89"/>
      <c r="K24" s="89"/>
      <c r="L24" s="89"/>
      <c r="M24" s="89"/>
      <c r="Y24" s="239" t="s">
        <v>3375</v>
      </c>
    </row>
    <row r="25" spans="2:25" ht="13.8">
      <c r="B25" s="89" t="s">
        <v>665</v>
      </c>
      <c r="C25" s="89"/>
      <c r="D25" s="89"/>
      <c r="E25" s="89"/>
      <c r="F25" s="89"/>
      <c r="G25" s="89"/>
      <c r="H25" s="89"/>
      <c r="I25" s="89"/>
      <c r="J25" s="89"/>
      <c r="K25" s="89"/>
      <c r="L25" s="89"/>
      <c r="M25" s="89"/>
    </row>
    <row r="26" spans="2:25" ht="13.8">
      <c r="B26" s="89" t="s">
        <v>669</v>
      </c>
      <c r="C26" s="89"/>
      <c r="D26" s="89"/>
      <c r="E26" s="89"/>
      <c r="F26" s="89"/>
      <c r="G26" s="89"/>
      <c r="H26" s="89"/>
      <c r="I26" s="89"/>
      <c r="J26" s="89"/>
      <c r="K26" s="89"/>
      <c r="L26" s="89"/>
      <c r="M26" s="89"/>
    </row>
    <row r="27" spans="2:25" ht="13.8">
      <c r="B27" s="89" t="s">
        <v>670</v>
      </c>
      <c r="C27" s="89"/>
      <c r="D27" s="89"/>
      <c r="E27" s="89"/>
      <c r="F27" s="89"/>
      <c r="G27" s="89"/>
      <c r="H27" s="89"/>
      <c r="I27" s="89"/>
      <c r="J27" s="89"/>
      <c r="K27" s="89"/>
      <c r="L27" s="89"/>
      <c r="M27" s="89"/>
    </row>
    <row r="28" spans="2:25" ht="13.8">
      <c r="B28" s="89" t="s">
        <v>288</v>
      </c>
      <c r="C28" s="89"/>
      <c r="D28" s="89"/>
      <c r="E28" s="89"/>
      <c r="F28" s="89"/>
      <c r="G28" s="89"/>
      <c r="H28" s="89"/>
      <c r="I28" s="89"/>
      <c r="J28" s="89"/>
      <c r="K28" s="89"/>
      <c r="L28" s="89"/>
      <c r="M28" s="89"/>
    </row>
    <row r="29" spans="2:25" ht="13.8">
      <c r="B29" s="89" t="s">
        <v>735</v>
      </c>
      <c r="C29" s="89"/>
      <c r="D29" s="89"/>
      <c r="E29" s="89"/>
      <c r="F29" s="89"/>
      <c r="G29" s="89"/>
      <c r="H29" s="89"/>
      <c r="I29" s="89"/>
      <c r="J29" s="89"/>
      <c r="K29" s="89"/>
      <c r="L29" s="89"/>
      <c r="M29" s="89"/>
    </row>
    <row r="31" spans="2:25" ht="13.8">
      <c r="B31" s="89" t="s">
        <v>511</v>
      </c>
    </row>
    <row r="32" spans="2:25" ht="13.8">
      <c r="B32" s="89" t="s">
        <v>736</v>
      </c>
    </row>
    <row r="34" spans="2:15" ht="13.8">
      <c r="B34" s="1073"/>
      <c r="C34" s="1074"/>
      <c r="D34" s="1074"/>
      <c r="E34" s="1074"/>
      <c r="F34" s="1074"/>
      <c r="G34" s="1074"/>
      <c r="H34" s="1074"/>
      <c r="I34" s="1074"/>
      <c r="J34" s="1074"/>
      <c r="K34" s="1074"/>
      <c r="L34" s="1074"/>
      <c r="M34" s="1075"/>
      <c r="N34" s="89"/>
      <c r="O34" s="89"/>
    </row>
    <row r="35" spans="2:15" ht="13.8">
      <c r="B35" s="1076"/>
      <c r="C35" s="1077"/>
      <c r="D35" s="1077"/>
      <c r="E35" s="1077"/>
      <c r="F35" s="1077"/>
      <c r="G35" s="1077"/>
      <c r="H35" s="1077"/>
      <c r="I35" s="1077"/>
      <c r="J35" s="1077"/>
      <c r="K35" s="1077"/>
      <c r="L35" s="1077"/>
      <c r="M35" s="1078"/>
      <c r="N35" s="89"/>
      <c r="O35" s="89"/>
    </row>
    <row r="36" spans="2:15" ht="13.8">
      <c r="B36" s="1079"/>
      <c r="C36" s="1080"/>
      <c r="D36" s="1081"/>
      <c r="E36" s="1080"/>
      <c r="F36" s="1077"/>
      <c r="G36" s="1077"/>
      <c r="H36" s="1077"/>
      <c r="I36" s="1077"/>
      <c r="J36" s="1077"/>
      <c r="K36" s="1077"/>
      <c r="L36" s="1077"/>
      <c r="M36" s="1078"/>
      <c r="N36" s="89"/>
      <c r="O36" s="89"/>
    </row>
    <row r="37" spans="2:15" ht="13.8">
      <c r="B37" s="1079"/>
      <c r="C37" s="1080"/>
      <c r="D37" s="1080"/>
      <c r="E37" s="1080"/>
      <c r="F37" s="1077"/>
      <c r="G37" s="1077"/>
      <c r="H37" s="1077"/>
      <c r="I37" s="1077"/>
      <c r="J37" s="1077"/>
      <c r="K37" s="1077"/>
      <c r="L37" s="1077"/>
      <c r="M37" s="1078"/>
      <c r="N37" s="89"/>
      <c r="O37" s="89"/>
    </row>
    <row r="38" spans="2:15" ht="13.8">
      <c r="B38" s="1079"/>
      <c r="C38" s="1080"/>
      <c r="D38" s="1081"/>
      <c r="E38" s="1080"/>
      <c r="F38" s="1077"/>
      <c r="G38" s="1077"/>
      <c r="H38" s="1077"/>
      <c r="I38" s="1077"/>
      <c r="J38" s="1077"/>
      <c r="K38" s="1077"/>
      <c r="L38" s="1077"/>
      <c r="M38" s="1078"/>
      <c r="N38" s="89"/>
      <c r="O38" s="89"/>
    </row>
    <row r="39" spans="2:15" ht="13.8">
      <c r="B39" s="1079"/>
      <c r="C39" s="1080"/>
      <c r="D39" s="1081"/>
      <c r="E39" s="1080"/>
      <c r="F39" s="1077"/>
      <c r="G39" s="1077"/>
      <c r="H39" s="1077"/>
      <c r="I39" s="1077"/>
      <c r="J39" s="1077"/>
      <c r="K39" s="1077"/>
      <c r="L39" s="1077"/>
      <c r="M39" s="1078"/>
      <c r="N39" s="89"/>
      <c r="O39" s="89"/>
    </row>
    <row r="40" spans="2:15" ht="13.8">
      <c r="B40" s="1079"/>
      <c r="C40" s="1080"/>
      <c r="D40" s="1080"/>
      <c r="E40" s="1080"/>
      <c r="F40" s="1077"/>
      <c r="G40" s="1077"/>
      <c r="H40" s="1077"/>
      <c r="I40" s="1077"/>
      <c r="J40" s="1077"/>
      <c r="K40" s="1077"/>
      <c r="L40" s="1077"/>
      <c r="M40" s="1078"/>
      <c r="N40" s="89"/>
      <c r="O40" s="89"/>
    </row>
    <row r="41" spans="2:15" ht="13.8">
      <c r="B41" s="1079"/>
      <c r="C41" s="1082"/>
      <c r="D41" s="1081"/>
      <c r="E41" s="1080"/>
      <c r="F41" s="1077"/>
      <c r="G41" s="1077"/>
      <c r="H41" s="1077"/>
      <c r="I41" s="1077"/>
      <c r="J41" s="1077"/>
      <c r="K41" s="1077"/>
      <c r="L41" s="1077"/>
      <c r="M41" s="1078"/>
      <c r="N41" s="89"/>
      <c r="O41" s="89"/>
    </row>
    <row r="42" spans="2:15" ht="13.8">
      <c r="B42" s="1079"/>
      <c r="C42" s="1080"/>
      <c r="D42" s="1081"/>
      <c r="E42" s="1080"/>
      <c r="F42" s="1077"/>
      <c r="G42" s="1077"/>
      <c r="H42" s="1077"/>
      <c r="I42" s="1077"/>
      <c r="J42" s="1077"/>
      <c r="K42" s="1077"/>
      <c r="L42" s="1077"/>
      <c r="M42" s="1078"/>
      <c r="N42" s="89"/>
      <c r="O42" s="89"/>
    </row>
    <row r="43" spans="2:15" ht="13.8">
      <c r="B43" s="1079"/>
      <c r="C43" s="1080"/>
      <c r="D43" s="1080"/>
      <c r="E43" s="1080"/>
      <c r="F43" s="1077"/>
      <c r="G43" s="1077"/>
      <c r="H43" s="1077"/>
      <c r="I43" s="1077"/>
      <c r="J43" s="1077"/>
      <c r="K43" s="1077"/>
      <c r="L43" s="1077"/>
      <c r="M43" s="1078"/>
      <c r="N43" s="89"/>
      <c r="O43" s="89"/>
    </row>
    <row r="44" spans="2:15" ht="13.8">
      <c r="B44" s="1079"/>
      <c r="C44" s="1080"/>
      <c r="D44" s="1081"/>
      <c r="E44" s="1080"/>
      <c r="F44" s="1077"/>
      <c r="G44" s="1077"/>
      <c r="H44" s="1077"/>
      <c r="I44" s="1077"/>
      <c r="J44" s="1077"/>
      <c r="K44" s="1077"/>
      <c r="L44" s="1077"/>
      <c r="M44" s="1078"/>
      <c r="N44" s="89"/>
      <c r="O44" s="89"/>
    </row>
    <row r="45" spans="2:15" ht="13.8">
      <c r="B45" s="1079"/>
      <c r="C45" s="1080"/>
      <c r="D45" s="1081"/>
      <c r="E45" s="1080"/>
      <c r="F45" s="1077"/>
      <c r="G45" s="1077"/>
      <c r="H45" s="1077"/>
      <c r="I45" s="1077"/>
      <c r="J45" s="1077"/>
      <c r="K45" s="1077"/>
      <c r="L45" s="1077"/>
      <c r="M45" s="1078"/>
      <c r="N45" s="89"/>
      <c r="O45" s="89"/>
    </row>
    <row r="46" spans="2:15" ht="13.8">
      <c r="B46" s="1079"/>
      <c r="C46" s="1080"/>
      <c r="D46" s="1080"/>
      <c r="E46" s="1080"/>
      <c r="F46" s="1077"/>
      <c r="G46" s="1077"/>
      <c r="H46" s="1077"/>
      <c r="I46" s="1077"/>
      <c r="J46" s="1077"/>
      <c r="K46" s="1077"/>
      <c r="L46" s="1077"/>
      <c r="M46" s="1078"/>
      <c r="N46" s="89"/>
      <c r="O46" s="89"/>
    </row>
    <row r="47" spans="2:15" ht="13.8">
      <c r="B47" s="1079"/>
      <c r="C47" s="1080"/>
      <c r="D47" s="1080"/>
      <c r="E47" s="1080"/>
      <c r="F47" s="1077"/>
      <c r="G47" s="1077"/>
      <c r="H47" s="1077"/>
      <c r="I47" s="1077"/>
      <c r="J47" s="1077"/>
      <c r="K47" s="1077"/>
      <c r="L47" s="1077"/>
      <c r="M47" s="1078"/>
      <c r="N47" s="89"/>
      <c r="O47" s="89"/>
    </row>
    <row r="48" spans="2:15" ht="13.8">
      <c r="B48" s="1083"/>
      <c r="C48" s="1084"/>
      <c r="D48" s="1084"/>
      <c r="E48" s="1084"/>
      <c r="F48" s="1085"/>
      <c r="G48" s="1085"/>
      <c r="H48" s="1085"/>
      <c r="I48" s="1085"/>
      <c r="J48" s="1085"/>
      <c r="K48" s="1085"/>
      <c r="L48" s="1085"/>
      <c r="M48" s="1086"/>
      <c r="N48" s="89"/>
      <c r="O48" s="89"/>
    </row>
    <row r="49" spans="2:13">
      <c r="B49" s="1"/>
      <c r="C49" s="1"/>
      <c r="D49" s="1"/>
      <c r="E49" s="1"/>
    </row>
    <row r="50" spans="2:13">
      <c r="I50" s="1161" t="str">
        <f>IF('KEY INPUTS'!D22=0,"NO ENTRY",'KEY INPUTS'!D22)</f>
        <v>Steven Wielkotz</v>
      </c>
      <c r="J50" s="1161"/>
      <c r="K50" s="1161"/>
      <c r="L50" s="1161"/>
      <c r="M50" s="1161"/>
    </row>
    <row r="51" spans="2:13">
      <c r="I51" s="1165" t="s">
        <v>648</v>
      </c>
      <c r="J51" s="1165"/>
      <c r="K51" s="1165"/>
      <c r="L51" s="1165"/>
      <c r="M51" s="1165"/>
    </row>
    <row r="53" spans="2:13">
      <c r="I53" s="1164" t="s">
        <v>3796</v>
      </c>
      <c r="J53" s="1164"/>
      <c r="K53" s="1164"/>
      <c r="L53" s="1164"/>
      <c r="M53" s="1164"/>
    </row>
    <row r="54" spans="2:13">
      <c r="I54" s="1165" t="s">
        <v>649</v>
      </c>
      <c r="J54" s="1165"/>
      <c r="K54" s="1165"/>
      <c r="L54" s="1165"/>
      <c r="M54" s="1165"/>
    </row>
    <row r="56" spans="2:13">
      <c r="I56" s="1164" t="s">
        <v>3797</v>
      </c>
      <c r="J56" s="1164"/>
      <c r="K56" s="1164"/>
      <c r="L56" s="1164"/>
      <c r="M56" s="1164"/>
    </row>
    <row r="57" spans="2:13">
      <c r="I57" s="1165" t="s">
        <v>650</v>
      </c>
      <c r="J57" s="1165"/>
      <c r="K57" s="1165"/>
      <c r="L57" s="1165"/>
      <c r="M57" s="1165"/>
    </row>
    <row r="59" spans="2:13">
      <c r="B59" t="s">
        <v>645</v>
      </c>
      <c r="I59" s="1164" t="s">
        <v>3798</v>
      </c>
      <c r="J59" s="1164"/>
      <c r="K59" s="1164"/>
      <c r="L59" s="1164"/>
      <c r="M59" s="1164"/>
    </row>
    <row r="60" spans="2:13">
      <c r="I60" s="1165" t="s">
        <v>650</v>
      </c>
      <c r="J60" s="1165"/>
      <c r="K60" s="1165"/>
      <c r="L60" s="1165"/>
      <c r="M60" s="1165"/>
    </row>
    <row r="61" spans="2:13">
      <c r="B61" t="s">
        <v>646</v>
      </c>
      <c r="C61" s="551">
        <v>13</v>
      </c>
      <c r="D61" t="s">
        <v>647</v>
      </c>
      <c r="E61" s="1166" t="s">
        <v>3800</v>
      </c>
      <c r="F61" s="1164"/>
      <c r="G61" s="1164"/>
      <c r="H61" s="239" t="str">
        <f>", "&amp;TEXT('KEY INPUTS'!D33,"0")</f>
        <v>, 2025</v>
      </c>
    </row>
    <row r="62" spans="2:13">
      <c r="C62" s="1"/>
      <c r="E62" s="1"/>
      <c r="F62" s="1"/>
      <c r="G62" s="1"/>
      <c r="J62" s="1164" t="s">
        <v>3799</v>
      </c>
      <c r="K62" s="1164"/>
      <c r="L62" s="1164"/>
    </row>
    <row r="63" spans="2:13">
      <c r="I63" s="1167" t="s">
        <v>651</v>
      </c>
      <c r="J63" s="1165"/>
      <c r="K63" s="1165"/>
      <c r="L63" s="1165"/>
      <c r="M63" s="1167"/>
    </row>
    <row r="65" spans="1:14">
      <c r="J65" s="1164"/>
      <c r="K65" s="1164"/>
      <c r="L65" s="1164"/>
    </row>
    <row r="66" spans="1:14">
      <c r="I66" s="1167" t="s">
        <v>83</v>
      </c>
      <c r="J66" s="1165"/>
      <c r="K66" s="1165"/>
      <c r="L66" s="1165"/>
      <c r="M66" s="1167"/>
    </row>
    <row r="70" spans="1:14" ht="13.8">
      <c r="A70" s="1130" t="s">
        <v>818</v>
      </c>
      <c r="B70" s="1130"/>
      <c r="C70" s="1130"/>
      <c r="D70" s="1130"/>
      <c r="E70" s="1130"/>
      <c r="F70" s="1130"/>
      <c r="G70" s="1130"/>
      <c r="H70" s="1130"/>
      <c r="I70" s="1130"/>
      <c r="J70" s="1130"/>
      <c r="K70" s="1130"/>
      <c r="L70" s="1130"/>
      <c r="M70" s="1130"/>
      <c r="N70" s="1130"/>
    </row>
  </sheetData>
  <sheetProtection algorithmName="SHA-512" hashValue="UEOrJgTjUJq/8+6FfwINkoOU3vYt0k8ebVKyoklLvOLwSSOIj3nR1kNgsO3m1kFCIdh5hwjNeGrLx581Z8PyJA==" saltValue="T0ULJIdezHwMcTG+rHk6jw==" spinCount="100000" sheet="1" objects="1" scenarios="1"/>
  <mergeCells count="16">
    <mergeCell ref="A70:N70"/>
    <mergeCell ref="I60:M60"/>
    <mergeCell ref="J62:L62"/>
    <mergeCell ref="I56:M56"/>
    <mergeCell ref="I57:M57"/>
    <mergeCell ref="J65:L65"/>
    <mergeCell ref="I63:M63"/>
    <mergeCell ref="I66:M66"/>
    <mergeCell ref="I59:M59"/>
    <mergeCell ref="I53:M53"/>
    <mergeCell ref="I54:M54"/>
    <mergeCell ref="I10:L10"/>
    <mergeCell ref="F10:G10"/>
    <mergeCell ref="E61:G61"/>
    <mergeCell ref="I50:M50"/>
    <mergeCell ref="I51:M51"/>
  </mergeCells>
  <phoneticPr fontId="0" type="noConversion"/>
  <conditionalFormatting sqref="G20">
    <cfRule type="expression" dxfId="9" priority="4">
      <formula>UPPER($P$23)="N"</formula>
    </cfRule>
  </conditionalFormatting>
  <conditionalFormatting sqref="B21">
    <cfRule type="expression" dxfId="8" priority="3">
      <formula>UPPER($P$23)="Y"</formula>
    </cfRule>
  </conditionalFormatting>
  <conditionalFormatting sqref="E21">
    <cfRule type="expression" dxfId="7" priority="1">
      <formula>UPPER($P$23)="N"</formula>
    </cfRule>
    <cfRule type="expression" dxfId="6" priority="2">
      <formula>UPPER($P$23)="Y"</formula>
    </cfRule>
  </conditionalFormatting>
  <pageMargins left="0.25" right="0.25" top="0.5" bottom="0.5" header="0.25" footer="0.25"/>
  <pageSetup paperSize="5"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DD6F5-B16F-4BFD-B5E5-766D5795AC3A}">
  <sheetPr codeName="Sheet60"/>
  <dimension ref="A2:N32"/>
  <sheetViews>
    <sheetView topLeftCell="A4" zoomScaleNormal="100" workbookViewId="0">
      <selection activeCell="F9" sqref="F9:F26"/>
    </sheetView>
  </sheetViews>
  <sheetFormatPr defaultColWidth="9.109375" defaultRowHeight="13.2"/>
  <cols>
    <col min="1" max="1" width="5.6640625" customWidth="1"/>
    <col min="2" max="4" width="4.88671875" customWidth="1"/>
    <col min="5" max="5" width="36.109375" customWidth="1"/>
    <col min="6" max="11" width="15.6640625" customWidth="1"/>
    <col min="12" max="12" width="11.88671875" bestFit="1" customWidth="1"/>
  </cols>
  <sheetData>
    <row r="2" spans="1:14" ht="20.399999999999999">
      <c r="B2" s="1131" t="s">
        <v>229</v>
      </c>
      <c r="C2" s="1131"/>
      <c r="D2" s="1131"/>
      <c r="E2" s="1131"/>
      <c r="F2" s="1131"/>
      <c r="G2" s="1131"/>
      <c r="H2" s="1131"/>
      <c r="I2" s="1131"/>
      <c r="J2" s="1131"/>
      <c r="K2" s="1131"/>
    </row>
    <row r="3" spans="1:14" ht="21" thickBot="1">
      <c r="B3" s="1131" t="s">
        <v>629</v>
      </c>
      <c r="C3" s="1131"/>
      <c r="D3" s="1131"/>
      <c r="E3" s="1131"/>
      <c r="F3" s="1131"/>
      <c r="G3" s="1131"/>
      <c r="H3" s="1131"/>
      <c r="I3" s="1131"/>
      <c r="J3" s="1131"/>
      <c r="K3" s="1131"/>
    </row>
    <row r="4" spans="1:14" ht="13.8" thickTop="1">
      <c r="B4" s="11"/>
      <c r="C4" s="11"/>
      <c r="D4" s="11"/>
      <c r="E4" s="11"/>
      <c r="F4" s="12"/>
      <c r="G4" s="12">
        <f>IF('KEY INPUTS'!C42="State Fiscal Year","Fiscal Year "&amp;'KEY INPUTS'!D33&amp;"",'KEY INPUTS'!D34)</f>
        <v>2024</v>
      </c>
      <c r="H4" s="12"/>
      <c r="I4" s="6"/>
      <c r="J4" s="11"/>
      <c r="K4" s="18"/>
    </row>
    <row r="5" spans="1:14">
      <c r="B5" s="1174" t="s">
        <v>638</v>
      </c>
      <c r="C5" s="1174"/>
      <c r="D5" s="1174"/>
      <c r="E5" s="1214"/>
      <c r="F5" s="13" t="s">
        <v>529</v>
      </c>
      <c r="G5" s="13" t="s">
        <v>534</v>
      </c>
      <c r="H5" s="13" t="s">
        <v>637</v>
      </c>
      <c r="I5" s="597" t="s">
        <v>218</v>
      </c>
      <c r="J5" s="13" t="s">
        <v>445</v>
      </c>
      <c r="K5" s="21" t="s">
        <v>529</v>
      </c>
    </row>
    <row r="6" spans="1:14">
      <c r="F6" s="245" t="str">
        <f>'10-Grants Receivable'!F6</f>
        <v>Jan. 1, 2024</v>
      </c>
      <c r="G6" s="13" t="s">
        <v>635</v>
      </c>
      <c r="H6" s="13"/>
      <c r="I6" s="15"/>
      <c r="J6" s="20"/>
      <c r="K6" s="244" t="str">
        <f>'10-Grants Receivable'!K6</f>
        <v>Dec. 31, 2024</v>
      </c>
    </row>
    <row r="7" spans="1:14" ht="13.8" thickBot="1">
      <c r="B7" s="10"/>
      <c r="C7" s="10"/>
      <c r="D7" s="10"/>
      <c r="E7" s="10"/>
      <c r="F7" s="14"/>
      <c r="G7" s="16" t="s">
        <v>636</v>
      </c>
      <c r="H7" s="14"/>
      <c r="I7" s="14"/>
      <c r="J7" s="17"/>
      <c r="K7" s="19"/>
    </row>
    <row r="8" spans="1:14" ht="21" customHeight="1" thickTop="1">
      <c r="B8" s="22" t="s">
        <v>3263</v>
      </c>
      <c r="C8" s="22"/>
      <c r="D8" s="22"/>
      <c r="E8" s="23"/>
      <c r="F8" s="657">
        <f>+'10.24-Grants Receivable'!F27</f>
        <v>0</v>
      </c>
      <c r="G8" s="657">
        <f>+'10.24-Grants Receivable'!G27</f>
        <v>31118.080000000002</v>
      </c>
      <c r="H8" s="657">
        <f>+'10.24-Grants Receivable'!H27</f>
        <v>0</v>
      </c>
      <c r="I8" s="657">
        <f>+'10.24-Grants Receivable'!I27</f>
        <v>-31118.080000000002</v>
      </c>
      <c r="J8" s="657">
        <f>+'10.24-Grants Receivable'!J27</f>
        <v>0</v>
      </c>
      <c r="K8" s="658">
        <f>+'10.24-Grants Receivable'!K27</f>
        <v>0</v>
      </c>
    </row>
    <row r="9" spans="1:14" ht="21" customHeight="1">
      <c r="B9" s="417"/>
      <c r="C9" s="417"/>
      <c r="D9" s="417"/>
      <c r="E9" s="423"/>
      <c r="F9" s="291"/>
      <c r="G9" s="291"/>
      <c r="H9" s="291"/>
      <c r="I9" s="291"/>
      <c r="J9" s="291"/>
      <c r="K9" s="630">
        <f t="shared" ref="K9:K26" si="0">+F9+G9-H9+I9-J9</f>
        <v>0</v>
      </c>
      <c r="L9" s="204"/>
    </row>
    <row r="10" spans="1:14" ht="21" customHeight="1">
      <c r="B10" s="417"/>
      <c r="C10" s="417"/>
      <c r="D10" s="417"/>
      <c r="E10" s="423"/>
      <c r="F10" s="291"/>
      <c r="G10" s="291"/>
      <c r="H10" s="291"/>
      <c r="I10" s="291"/>
      <c r="J10" s="291"/>
      <c r="K10" s="630">
        <f t="shared" si="0"/>
        <v>0</v>
      </c>
      <c r="N10" s="294"/>
    </row>
    <row r="11" spans="1:14" ht="21" customHeight="1">
      <c r="B11" s="417"/>
      <c r="C11" s="417"/>
      <c r="D11" s="417"/>
      <c r="E11" s="423"/>
      <c r="F11" s="291"/>
      <c r="G11" s="291"/>
      <c r="H11" s="291"/>
      <c r="I11" s="291"/>
      <c r="J11" s="291"/>
      <c r="K11" s="630">
        <f t="shared" si="0"/>
        <v>0</v>
      </c>
      <c r="L11" s="204"/>
    </row>
    <row r="12" spans="1:14" ht="21" customHeight="1">
      <c r="B12" s="417"/>
      <c r="C12" s="1099"/>
      <c r="D12" s="417"/>
      <c r="E12" s="423"/>
      <c r="F12" s="291"/>
      <c r="G12" s="291"/>
      <c r="H12" s="291"/>
      <c r="I12" s="291"/>
      <c r="J12" s="291"/>
      <c r="K12" s="630">
        <f t="shared" si="0"/>
        <v>0</v>
      </c>
    </row>
    <row r="13" spans="1:14" ht="21" customHeight="1">
      <c r="B13" s="417"/>
      <c r="C13" s="1099"/>
      <c r="D13" s="417"/>
      <c r="E13" s="423"/>
      <c r="F13" s="291"/>
      <c r="G13" s="291"/>
      <c r="H13" s="291"/>
      <c r="I13" s="291"/>
      <c r="J13" s="291"/>
      <c r="K13" s="630">
        <f t="shared" si="0"/>
        <v>0</v>
      </c>
    </row>
    <row r="14" spans="1:14" ht="21" customHeight="1">
      <c r="B14" s="417"/>
      <c r="C14" s="417"/>
      <c r="D14" s="417"/>
      <c r="E14" s="423"/>
      <c r="F14" s="291"/>
      <c r="G14" s="291"/>
      <c r="H14" s="291"/>
      <c r="I14" s="291"/>
      <c r="J14" s="291"/>
      <c r="K14" s="630">
        <f t="shared" si="0"/>
        <v>0</v>
      </c>
    </row>
    <row r="15" spans="1:14" ht="21" customHeight="1">
      <c r="A15" s="1195" t="s">
        <v>3367</v>
      </c>
      <c r="B15" s="417"/>
      <c r="C15" s="418"/>
      <c r="D15" s="417"/>
      <c r="E15" s="423"/>
      <c r="F15" s="291"/>
      <c r="G15" s="291"/>
      <c r="H15" s="291"/>
      <c r="I15" s="291"/>
      <c r="J15" s="291"/>
      <c r="K15" s="630">
        <f t="shared" si="0"/>
        <v>0</v>
      </c>
    </row>
    <row r="16" spans="1:14" ht="21" customHeight="1">
      <c r="A16" s="1195"/>
      <c r="B16" s="417"/>
      <c r="C16" s="418"/>
      <c r="D16" s="417"/>
      <c r="E16" s="423"/>
      <c r="F16" s="291"/>
      <c r="G16" s="291"/>
      <c r="H16" s="291"/>
      <c r="I16" s="291"/>
      <c r="J16" s="291"/>
      <c r="K16" s="630">
        <f t="shared" si="0"/>
        <v>0</v>
      </c>
    </row>
    <row r="17" spans="1:12" ht="21" customHeight="1">
      <c r="A17" s="1195"/>
      <c r="B17" s="417"/>
      <c r="C17" s="418"/>
      <c r="D17" s="417"/>
      <c r="E17" s="423"/>
      <c r="F17" s="291"/>
      <c r="G17" s="291"/>
      <c r="H17" s="291"/>
      <c r="I17" s="291"/>
      <c r="J17" s="291"/>
      <c r="K17" s="630">
        <f t="shared" si="0"/>
        <v>0</v>
      </c>
    </row>
    <row r="18" spans="1:12" ht="21" customHeight="1">
      <c r="B18" s="417"/>
      <c r="C18" s="418"/>
      <c r="D18" s="417"/>
      <c r="E18" s="423"/>
      <c r="F18" s="291"/>
      <c r="G18" s="291"/>
      <c r="H18" s="291"/>
      <c r="I18" s="291"/>
      <c r="J18" s="291"/>
      <c r="K18" s="630">
        <f t="shared" si="0"/>
        <v>0</v>
      </c>
    </row>
    <row r="19" spans="1:12" ht="21" customHeight="1">
      <c r="B19" s="417"/>
      <c r="C19" s="418"/>
      <c r="D19" s="417"/>
      <c r="E19" s="423"/>
      <c r="F19" s="291"/>
      <c r="G19" s="291"/>
      <c r="H19" s="291"/>
      <c r="I19" s="291"/>
      <c r="J19" s="291"/>
      <c r="K19" s="630">
        <f t="shared" si="0"/>
        <v>0</v>
      </c>
    </row>
    <row r="20" spans="1:12" ht="21" customHeight="1">
      <c r="B20" s="417"/>
      <c r="C20" s="417"/>
      <c r="D20" s="417"/>
      <c r="E20" s="423"/>
      <c r="F20" s="291"/>
      <c r="G20" s="291"/>
      <c r="H20" s="291"/>
      <c r="I20" s="291"/>
      <c r="J20" s="291"/>
      <c r="K20" s="630">
        <f t="shared" si="0"/>
        <v>0</v>
      </c>
    </row>
    <row r="21" spans="1:12" ht="21" customHeight="1">
      <c r="B21" s="417"/>
      <c r="C21" s="417"/>
      <c r="D21" s="417"/>
      <c r="E21" s="423"/>
      <c r="F21" s="291"/>
      <c r="G21" s="291"/>
      <c r="H21" s="291"/>
      <c r="I21" s="291"/>
      <c r="J21" s="291"/>
      <c r="K21" s="630">
        <f t="shared" si="0"/>
        <v>0</v>
      </c>
    </row>
    <row r="22" spans="1:12" ht="21" customHeight="1">
      <c r="B22" s="417"/>
      <c r="C22" s="417"/>
      <c r="D22" s="417"/>
      <c r="E22" s="423"/>
      <c r="F22" s="291"/>
      <c r="G22" s="291"/>
      <c r="H22" s="291"/>
      <c r="I22" s="291"/>
      <c r="J22" s="291"/>
      <c r="K22" s="630">
        <f t="shared" si="0"/>
        <v>0</v>
      </c>
    </row>
    <row r="23" spans="1:12" ht="21" customHeight="1">
      <c r="B23" s="417"/>
      <c r="C23" s="417"/>
      <c r="D23" s="417"/>
      <c r="E23" s="423"/>
      <c r="F23" s="291"/>
      <c r="G23" s="291"/>
      <c r="H23" s="291"/>
      <c r="I23" s="291"/>
      <c r="J23" s="291"/>
      <c r="K23" s="630">
        <f t="shared" si="0"/>
        <v>0</v>
      </c>
    </row>
    <row r="24" spans="1:12" ht="21" customHeight="1">
      <c r="B24" s="417"/>
      <c r="C24" s="417"/>
      <c r="D24" s="417"/>
      <c r="E24" s="423"/>
      <c r="F24" s="291"/>
      <c r="G24" s="291"/>
      <c r="H24" s="291"/>
      <c r="I24" s="291"/>
      <c r="J24" s="291"/>
      <c r="K24" s="630">
        <f t="shared" si="0"/>
        <v>0</v>
      </c>
    </row>
    <row r="25" spans="1:12" ht="21" customHeight="1">
      <c r="B25" s="417"/>
      <c r="C25" s="417"/>
      <c r="D25" s="417"/>
      <c r="E25" s="423"/>
      <c r="F25" s="291"/>
      <c r="G25" s="291"/>
      <c r="H25" s="291"/>
      <c r="I25" s="291"/>
      <c r="J25" s="291"/>
      <c r="K25" s="630">
        <f t="shared" si="0"/>
        <v>0</v>
      </c>
    </row>
    <row r="26" spans="1:12" ht="21" customHeight="1">
      <c r="B26" s="417"/>
      <c r="C26" s="417"/>
      <c r="D26" s="417"/>
      <c r="E26" s="423"/>
      <c r="F26" s="291"/>
      <c r="G26" s="291"/>
      <c r="H26" s="291"/>
      <c r="I26" s="291"/>
      <c r="J26" s="291"/>
      <c r="K26" s="630">
        <f t="shared" si="0"/>
        <v>0</v>
      </c>
    </row>
    <row r="27" spans="1:12" ht="21" customHeight="1" thickBot="1">
      <c r="B27" s="27"/>
      <c r="C27" s="264" t="s">
        <v>3288</v>
      </c>
      <c r="D27" s="27"/>
      <c r="E27" s="41"/>
      <c r="F27" s="95">
        <f t="shared" ref="F27:K27" si="1">SUM(F8:F26)</f>
        <v>0</v>
      </c>
      <c r="G27" s="95">
        <f t="shared" si="1"/>
        <v>31118.080000000002</v>
      </c>
      <c r="H27" s="95">
        <f t="shared" si="1"/>
        <v>0</v>
      </c>
      <c r="I27" s="95">
        <f t="shared" si="1"/>
        <v>-31118.080000000002</v>
      </c>
      <c r="J27" s="95">
        <f t="shared" si="1"/>
        <v>0</v>
      </c>
      <c r="K27" s="640">
        <f t="shared" si="1"/>
        <v>0</v>
      </c>
    </row>
    <row r="28" spans="1:12" ht="13.8" thickTop="1"/>
    <row r="29" spans="1:12">
      <c r="K29" s="204"/>
    </row>
    <row r="30" spans="1:12">
      <c r="F30" s="204"/>
      <c r="G30" s="204"/>
      <c r="K30" s="204"/>
      <c r="L30" s="204"/>
    </row>
    <row r="31" spans="1:12">
      <c r="K31" s="204"/>
    </row>
    <row r="32" spans="1:12">
      <c r="G32" s="204"/>
    </row>
  </sheetData>
  <sheetProtection algorithmName="SHA-512" hashValue="rgZJbdWkPz82h5iiN1dQGbP6mWoELaq4/PTKDCd2hqwzPQYh6cFXIkkS/If8G7/RkipPMuRjuyG0abO6eScFpA==" saltValue="5s9m/gWZogdYVgRo6NWr5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1">
    <pageSetUpPr fitToPage="1"/>
  </sheetPr>
  <dimension ref="A2:O34"/>
  <sheetViews>
    <sheetView topLeftCell="A10" zoomScaleNormal="100" workbookViewId="0">
      <selection activeCell="I12" sqref="I12"/>
    </sheetView>
  </sheetViews>
  <sheetFormatPr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IF('KEY INPUTS'!C42 = "State Fiscal Year", 'KEY INPUTS'!F48,'KEY INPUTS'!D48)</f>
        <v>Jan. 1, 2024</v>
      </c>
      <c r="G6" s="13" t="s">
        <v>534</v>
      </c>
      <c r="H6" s="13" t="s">
        <v>232</v>
      </c>
      <c r="I6" s="13"/>
      <c r="J6" s="13"/>
      <c r="K6" s="20"/>
      <c r="L6" s="244" t="str">
        <f>IF('KEY INPUTS'!C42 = "State Fiscal Year", 'KEY INPUTS'!F47,'KEY INPUTS'!D47)</f>
        <v>Dec. 31, 2024</v>
      </c>
    </row>
    <row r="7" spans="1:15" ht="13.8" thickBot="1">
      <c r="B7" s="10"/>
      <c r="C7" s="10"/>
      <c r="D7" s="10"/>
      <c r="E7" s="10"/>
      <c r="F7" s="14"/>
      <c r="G7" s="16"/>
      <c r="H7" s="16" t="s">
        <v>233</v>
      </c>
      <c r="I7" s="14"/>
      <c r="J7" s="16"/>
      <c r="K7" s="17"/>
      <c r="L7" s="19"/>
    </row>
    <row r="8" spans="1:15" ht="21" customHeight="1" thickTop="1">
      <c r="B8" s="995" t="s">
        <v>3767</v>
      </c>
      <c r="C8" s="995"/>
      <c r="D8" s="995"/>
      <c r="E8" s="996"/>
      <c r="F8" s="426">
        <v>8214</v>
      </c>
      <c r="G8" s="426">
        <v>4162.08</v>
      </c>
      <c r="H8" s="426"/>
      <c r="I8" s="426"/>
      <c r="J8" s="426"/>
      <c r="K8" s="426"/>
      <c r="L8" s="261">
        <f>+F8+G8+H8-I8+J8-K8</f>
        <v>12376.08</v>
      </c>
      <c r="M8" s="550"/>
    </row>
    <row r="9" spans="1:15" ht="21" customHeight="1">
      <c r="B9" s="997" t="s">
        <v>3766</v>
      </c>
      <c r="C9" s="997"/>
      <c r="D9" s="997"/>
      <c r="E9" s="998"/>
      <c r="F9" s="426">
        <v>2389.5</v>
      </c>
      <c r="G9" s="426">
        <v>1956</v>
      </c>
      <c r="H9" s="426"/>
      <c r="I9" s="426"/>
      <c r="J9" s="426"/>
      <c r="K9" s="426"/>
      <c r="L9" s="261">
        <f t="shared" ref="L9:L26" si="0">+F9+G9+H9-I9+J9-K9</f>
        <v>4345.5</v>
      </c>
      <c r="M9" s="552"/>
    </row>
    <row r="10" spans="1:15" ht="21" customHeight="1">
      <c r="B10" s="997" t="s">
        <v>3769</v>
      </c>
      <c r="C10" s="997"/>
      <c r="D10" s="997"/>
      <c r="E10" s="998"/>
      <c r="F10" s="426">
        <v>123613.56</v>
      </c>
      <c r="G10" s="426"/>
      <c r="H10" s="426"/>
      <c r="I10" s="426">
        <v>123613.56</v>
      </c>
      <c r="J10" s="426"/>
      <c r="K10" s="426"/>
      <c r="L10" s="261">
        <f t="shared" si="0"/>
        <v>0</v>
      </c>
      <c r="M10" s="204"/>
    </row>
    <row r="11" spans="1:15" ht="21" customHeight="1">
      <c r="B11" s="997" t="s">
        <v>3770</v>
      </c>
      <c r="C11" s="997"/>
      <c r="D11" s="997"/>
      <c r="E11" s="998"/>
      <c r="F11" s="426">
        <v>495136.99</v>
      </c>
      <c r="G11" s="426"/>
      <c r="H11" s="426"/>
      <c r="I11" s="426">
        <v>342525.3</v>
      </c>
      <c r="J11" s="426"/>
      <c r="K11" s="426"/>
      <c r="L11" s="261">
        <f t="shared" si="0"/>
        <v>152611.69</v>
      </c>
      <c r="M11" s="204"/>
      <c r="O11" s="294"/>
    </row>
    <row r="12" spans="1:15" ht="21" customHeight="1">
      <c r="B12" s="997" t="s">
        <v>3771</v>
      </c>
      <c r="C12" s="997"/>
      <c r="D12" s="997"/>
      <c r="E12" s="998"/>
      <c r="F12" s="426">
        <v>1250</v>
      </c>
      <c r="G12" s="426">
        <v>25000</v>
      </c>
      <c r="H12" s="426"/>
      <c r="I12" s="426"/>
      <c r="J12" s="426"/>
      <c r="K12" s="426"/>
      <c r="L12" s="261">
        <f t="shared" si="0"/>
        <v>26250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231</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X48u0Hh6jGRCw6e8oRU8neck3iTDqgrw52GxKnW/EHxPA0RKZ3EKuWDZxWoATKjb55OYQmf9PZoapURxfhLfHQ==" saltValue="ybRwp2Dyuc6XjGUol/INKQ==" spinCount="100000" sheet="1" objects="1" scenarios="1"/>
  <mergeCells count="6">
    <mergeCell ref="A15:A16"/>
    <mergeCell ref="B2:L2"/>
    <mergeCell ref="B3:L3"/>
    <mergeCell ref="B5:E5"/>
    <mergeCell ref="G4:H4"/>
    <mergeCell ref="G5:H5"/>
  </mergeCells>
  <phoneticPr fontId="0" type="noConversion"/>
  <pageMargins left="0.25" right="0.25" top="0.5" bottom="0.5" header="0.25" footer="0.25"/>
  <pageSetup scale="7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780DD-7E74-4D37-8831-752F0FFD823D}">
  <sheetPr codeName="Sheet62"/>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 Grants Approp Rsrv'!F27</f>
        <v>630604.05000000005</v>
      </c>
      <c r="G8" s="728">
        <f>+'11 Grants Approp Rsrv'!G27</f>
        <v>31118.080000000002</v>
      </c>
      <c r="H8" s="728">
        <f>+'11 Grants Approp Rsrv'!H27</f>
        <v>0</v>
      </c>
      <c r="I8" s="728">
        <f>+'11 Grants Approp Rsrv'!I27</f>
        <v>466138.86</v>
      </c>
      <c r="J8" s="728">
        <f>+'11 Grants Approp Rsrv'!J27</f>
        <v>0</v>
      </c>
      <c r="K8" s="728">
        <f>+'11 Grants Approp Rsrv'!K27</f>
        <v>0</v>
      </c>
      <c r="L8" s="729">
        <f>+'11 Grants Approp Rsrv'!L27</f>
        <v>195583.27000000002</v>
      </c>
      <c r="M8" s="550"/>
    </row>
    <row r="9" spans="1:15" ht="21" customHeight="1">
      <c r="B9" s="997"/>
      <c r="C9" s="997"/>
      <c r="D9" s="997"/>
      <c r="E9" s="998"/>
      <c r="F9" s="289"/>
      <c r="G9" s="289"/>
      <c r="H9" s="289"/>
      <c r="I9" s="289"/>
      <c r="J9" s="289"/>
      <c r="K9" s="289"/>
      <c r="L9" s="261">
        <f t="shared" ref="L9:L26" si="0">+F9+G9+H9-I9+J9-K9</f>
        <v>0</v>
      </c>
      <c r="M9" s="552"/>
    </row>
    <row r="10" spans="1:15" ht="21" customHeight="1">
      <c r="B10" s="997"/>
      <c r="C10" s="997"/>
      <c r="D10" s="997"/>
      <c r="E10" s="998"/>
      <c r="F10" s="289"/>
      <c r="G10" s="289"/>
      <c r="H10" s="289"/>
      <c r="I10" s="289"/>
      <c r="J10" s="289"/>
      <c r="K10" s="289"/>
      <c r="L10" s="261">
        <f t="shared" si="0"/>
        <v>0</v>
      </c>
      <c r="M10" s="204"/>
    </row>
    <row r="11" spans="1:15" ht="21" customHeight="1">
      <c r="B11" s="997"/>
      <c r="C11" s="997"/>
      <c r="D11" s="997"/>
      <c r="E11" s="998"/>
      <c r="F11" s="289"/>
      <c r="G11" s="289"/>
      <c r="H11" s="289"/>
      <c r="I11" s="289"/>
      <c r="J11" s="289"/>
      <c r="K11" s="289"/>
      <c r="L11" s="261">
        <f t="shared" si="0"/>
        <v>0</v>
      </c>
      <c r="M11" s="204"/>
      <c r="O11" s="294"/>
    </row>
    <row r="12" spans="1:15" ht="21" customHeight="1">
      <c r="B12" s="997"/>
      <c r="C12" s="997"/>
      <c r="D12" s="997"/>
      <c r="E12" s="998"/>
      <c r="F12" s="289"/>
      <c r="G12" s="289"/>
      <c r="H12" s="289"/>
      <c r="I12" s="289"/>
      <c r="J12" s="289"/>
      <c r="K12" s="289"/>
      <c r="L12" s="261">
        <f t="shared" si="0"/>
        <v>0</v>
      </c>
      <c r="M12" s="204"/>
    </row>
    <row r="13" spans="1:15" ht="21" customHeight="1">
      <c r="B13" s="997"/>
      <c r="C13" s="997"/>
      <c r="D13" s="997"/>
      <c r="E13" s="998"/>
      <c r="F13" s="289"/>
      <c r="G13" s="289"/>
      <c r="H13" s="289"/>
      <c r="I13" s="289"/>
      <c r="J13" s="289"/>
      <c r="K13" s="289"/>
      <c r="L13" s="261">
        <f t="shared" si="0"/>
        <v>0</v>
      </c>
      <c r="M13" s="204"/>
    </row>
    <row r="14" spans="1:15" ht="21" customHeight="1">
      <c r="B14" s="997"/>
      <c r="C14" s="997"/>
      <c r="D14" s="997"/>
      <c r="E14" s="998"/>
      <c r="F14" s="289"/>
      <c r="G14" s="289"/>
      <c r="H14" s="289"/>
      <c r="I14" s="289"/>
      <c r="J14" s="289"/>
      <c r="K14" s="289"/>
      <c r="L14" s="261">
        <f t="shared" si="0"/>
        <v>0</v>
      </c>
      <c r="M14" s="204"/>
    </row>
    <row r="15" spans="1:15" ht="21" customHeight="1">
      <c r="A15" s="1195" t="s">
        <v>3289</v>
      </c>
      <c r="B15" s="997"/>
      <c r="C15" s="997"/>
      <c r="D15" s="997"/>
      <c r="E15" s="998"/>
      <c r="F15" s="289"/>
      <c r="G15" s="289"/>
      <c r="H15" s="289"/>
      <c r="I15" s="289"/>
      <c r="J15" s="289"/>
      <c r="K15" s="289"/>
      <c r="L15" s="261">
        <f t="shared" si="0"/>
        <v>0</v>
      </c>
      <c r="M15" s="204"/>
    </row>
    <row r="16" spans="1:15" ht="21" customHeight="1">
      <c r="A16" s="1195"/>
      <c r="B16" s="997"/>
      <c r="C16" s="997"/>
      <c r="D16" s="997"/>
      <c r="E16" s="998"/>
      <c r="F16" s="289"/>
      <c r="G16" s="289"/>
      <c r="H16" s="289"/>
      <c r="I16" s="289"/>
      <c r="J16" s="289"/>
      <c r="K16" s="289"/>
      <c r="L16" s="261">
        <f t="shared" si="0"/>
        <v>0</v>
      </c>
      <c r="M16" s="204"/>
    </row>
    <row r="17" spans="1:13" ht="21" customHeight="1">
      <c r="B17" s="997"/>
      <c r="C17" s="997"/>
      <c r="D17" s="997"/>
      <c r="E17" s="998"/>
      <c r="F17" s="289"/>
      <c r="G17" s="289"/>
      <c r="H17" s="289"/>
      <c r="I17" s="289"/>
      <c r="J17" s="289"/>
      <c r="K17" s="289"/>
      <c r="L17" s="261">
        <f t="shared" si="0"/>
        <v>0</v>
      </c>
      <c r="M17" s="204"/>
    </row>
    <row r="18" spans="1:13" ht="21" customHeight="1">
      <c r="A18" s="265"/>
      <c r="B18" s="997"/>
      <c r="C18" s="997"/>
      <c r="D18" s="997"/>
      <c r="E18" s="998"/>
      <c r="F18" s="289"/>
      <c r="G18" s="289"/>
      <c r="H18" s="289"/>
      <c r="I18" s="289"/>
      <c r="J18" s="289"/>
      <c r="K18" s="289"/>
      <c r="L18" s="261">
        <f t="shared" si="0"/>
        <v>0</v>
      </c>
      <c r="M18" s="204"/>
    </row>
    <row r="19" spans="1:13" ht="21" customHeight="1">
      <c r="A19" s="265"/>
      <c r="B19" s="997"/>
      <c r="C19" s="997"/>
      <c r="D19" s="997"/>
      <c r="E19" s="998"/>
      <c r="F19" s="289"/>
      <c r="G19" s="289"/>
      <c r="H19" s="289"/>
      <c r="I19" s="289"/>
      <c r="J19" s="289"/>
      <c r="K19" s="289"/>
      <c r="L19" s="261">
        <f t="shared" si="0"/>
        <v>0</v>
      </c>
      <c r="M19" s="204"/>
    </row>
    <row r="20" spans="1:13" ht="21" customHeight="1">
      <c r="B20" s="997"/>
      <c r="C20" s="997"/>
      <c r="D20" s="997"/>
      <c r="E20" s="998"/>
      <c r="F20" s="289"/>
      <c r="G20" s="289"/>
      <c r="H20" s="289"/>
      <c r="I20" s="289"/>
      <c r="J20" s="289"/>
      <c r="K20" s="289"/>
      <c r="L20" s="261">
        <f t="shared" si="0"/>
        <v>0</v>
      </c>
      <c r="M20" s="204"/>
    </row>
    <row r="21" spans="1:13" ht="21" customHeight="1">
      <c r="B21" s="997"/>
      <c r="C21" s="997"/>
      <c r="D21" s="997"/>
      <c r="E21" s="998"/>
      <c r="F21" s="289"/>
      <c r="G21" s="289"/>
      <c r="H21" s="289"/>
      <c r="I21" s="289"/>
      <c r="J21" s="289"/>
      <c r="K21" s="289"/>
      <c r="L21" s="261">
        <f t="shared" si="0"/>
        <v>0</v>
      </c>
      <c r="M21" s="204"/>
    </row>
    <row r="22" spans="1:13" ht="21" customHeight="1">
      <c r="B22" s="997"/>
      <c r="C22" s="997"/>
      <c r="D22" s="997"/>
      <c r="E22" s="998"/>
      <c r="F22" s="289"/>
      <c r="G22" s="289"/>
      <c r="H22" s="289"/>
      <c r="I22" s="289"/>
      <c r="J22" s="289"/>
      <c r="K22" s="289"/>
      <c r="L22" s="261">
        <f t="shared" si="0"/>
        <v>0</v>
      </c>
      <c r="M22" s="204"/>
    </row>
    <row r="23" spans="1:13" ht="21" customHeight="1">
      <c r="B23" s="997"/>
      <c r="C23" s="997"/>
      <c r="D23" s="997"/>
      <c r="E23" s="998"/>
      <c r="F23" s="289"/>
      <c r="G23" s="289"/>
      <c r="H23" s="289"/>
      <c r="I23" s="289"/>
      <c r="J23" s="289"/>
      <c r="K23" s="289"/>
      <c r="L23" s="261">
        <f t="shared" si="0"/>
        <v>0</v>
      </c>
      <c r="M23" s="204"/>
    </row>
    <row r="24" spans="1:13" ht="21" customHeight="1">
      <c r="B24" s="997"/>
      <c r="C24" s="997"/>
      <c r="D24" s="997"/>
      <c r="E24" s="998"/>
      <c r="F24" s="289"/>
      <c r="G24" s="289"/>
      <c r="H24" s="289"/>
      <c r="I24" s="289"/>
      <c r="J24" s="289"/>
      <c r="K24" s="289"/>
      <c r="L24" s="261">
        <f t="shared" si="0"/>
        <v>0</v>
      </c>
      <c r="M24" s="204"/>
    </row>
    <row r="25" spans="1:13" ht="21" customHeight="1">
      <c r="B25" s="997"/>
      <c r="C25" s="997"/>
      <c r="D25" s="997"/>
      <c r="E25" s="998"/>
      <c r="F25" s="289"/>
      <c r="G25" s="289"/>
      <c r="H25" s="289"/>
      <c r="I25" s="289"/>
      <c r="J25" s="289"/>
      <c r="K25" s="289"/>
      <c r="L25" s="261">
        <f t="shared" si="0"/>
        <v>0</v>
      </c>
      <c r="M25" s="204"/>
    </row>
    <row r="26" spans="1:13" ht="21" customHeight="1">
      <c r="B26" s="997"/>
      <c r="C26" s="997"/>
      <c r="D26" s="997"/>
      <c r="E26" s="998"/>
      <c r="F26" s="289"/>
      <c r="G26" s="289"/>
      <c r="H26" s="289"/>
      <c r="I26" s="289"/>
      <c r="J26" s="289"/>
      <c r="K26" s="289"/>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5dFKYKIkVOO+nZsf+5dMQoTx+nIla3Amhz40JB/w4I/V72j7mHVAP0e4LxdV0zqbB6CyKtktm2B0bf0SxyeowA==" saltValue="aTTb1bvwECtNExZiz3xPcA=="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6BCEC-E7FD-4D48-8C22-061A756E8DE5}">
  <sheetPr codeName="Sheet63"/>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+'11.1 Grants Approp Rsrv'!F27</f>
        <v>630604.05000000005</v>
      </c>
      <c r="G8" s="728">
        <f>+'11.1 Grants Approp Rsrv'!G27</f>
        <v>31118.080000000002</v>
      </c>
      <c r="H8" s="728">
        <f>+'11.1 Grants Approp Rsrv'!H27</f>
        <v>0</v>
      </c>
      <c r="I8" s="728">
        <f>+'11.1 Grants Approp Rsrv'!I27</f>
        <v>466138.86</v>
      </c>
      <c r="J8" s="728">
        <f>+'11.1 Grants Approp Rsrv'!J27</f>
        <v>0</v>
      </c>
      <c r="K8" s="728">
        <f>+'11.1 Grants Approp Rsrv'!K27</f>
        <v>0</v>
      </c>
      <c r="L8" s="729">
        <f>+'11.1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3290</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Lcz3zJdn3CUmCF8FL6k81wII71pHHRVNvBX/DDxNWR6zm+nnBMVXy5fwkia2Enrbqm3HnQ/EpgGI1hNFGHl0Gg==" saltValue="8BovY3fQskAzxgUWcu+fE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C00B0-B2B5-4815-9C7C-E9FAFC4478F0}">
  <sheetPr codeName="Sheet64"/>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+'11.2 Grants Approp Rsrv'!F27</f>
        <v>630604.05000000005</v>
      </c>
      <c r="G8" s="728">
        <f>+'11.2 Grants Approp Rsrv'!G27</f>
        <v>31118.080000000002</v>
      </c>
      <c r="H8" s="728">
        <f>+'11.2 Grants Approp Rsrv'!H27</f>
        <v>0</v>
      </c>
      <c r="I8" s="728">
        <f>+'11.2 Grants Approp Rsrv'!I27</f>
        <v>466138.86</v>
      </c>
      <c r="J8" s="728">
        <f>+'11.2 Grants Approp Rsrv'!J27</f>
        <v>0</v>
      </c>
      <c r="K8" s="728">
        <f>+'11.2 Grants Approp Rsrv'!K27</f>
        <v>0</v>
      </c>
      <c r="L8" s="729">
        <f>+'11.2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3291</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ZWjd+UbBjhjw1J9r4ys7fzQTdxLOGPFQE9eZU+pHfnb0H8jaakzi/c0jVlD2Ca8YIGPiW85r9RRf8WoPIgmJg==" saltValue="dKs5PofP6DFUR+PMIium2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7E5C4-2A9E-49A1-8DCE-63C9E7C358DE}">
  <sheetPr codeName="Sheet65"/>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+'11.3 Grants Approp Rsrv'!F27</f>
        <v>630604.05000000005</v>
      </c>
      <c r="G8" s="728">
        <f>+'11.3 Grants Approp Rsrv'!G27</f>
        <v>31118.080000000002</v>
      </c>
      <c r="H8" s="728">
        <f>+'11.3 Grants Approp Rsrv'!H27</f>
        <v>0</v>
      </c>
      <c r="I8" s="728">
        <f>+'11.3 Grants Approp Rsrv'!I27</f>
        <v>466138.86</v>
      </c>
      <c r="J8" s="728">
        <f>+'11.3 Grants Approp Rsrv'!J27</f>
        <v>0</v>
      </c>
      <c r="K8" s="728">
        <f>+'11.3 Grants Approp Rsrv'!K27</f>
        <v>0</v>
      </c>
      <c r="L8" s="729">
        <f>+'11.3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3292</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hPJ7GORR4icIgYC3fTYdlvP7hH5AA2cuvK90xTt2k/aAM7NiCTUkzpV53CgxlZsPma5+TqAx6cFUtdu06Sg2XQ==" saltValue="pBYBWUv2H3WNBPx8AaxCp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72E9B-BC39-4691-9D69-F0FE747DF8C2}">
  <sheetPr codeName="Sheet66"/>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+'11.4 Grants Approp Rsrv'!F27</f>
        <v>630604.05000000005</v>
      </c>
      <c r="G8" s="728">
        <f>+'11.4 Grants Approp Rsrv'!G27</f>
        <v>31118.080000000002</v>
      </c>
      <c r="H8" s="728">
        <f>+'11.4 Grants Approp Rsrv'!H27</f>
        <v>0</v>
      </c>
      <c r="I8" s="728">
        <f>+'11.4 Grants Approp Rsrv'!I27</f>
        <v>466138.86</v>
      </c>
      <c r="J8" s="728">
        <f>+'11.4 Grants Approp Rsrv'!J27</f>
        <v>0</v>
      </c>
      <c r="K8" s="728">
        <f>+'11.4 Grants Approp Rsrv'!K27</f>
        <v>0</v>
      </c>
      <c r="L8" s="729">
        <f>+'11.4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3293</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fNUeDpfc4jwVydjWAnELTsypXYPkwOxCAlcPyfd5ECBg4TruHHUsQ7qgOz1f52/6WelpS1SPc0nym8H9c9KLVA==" saltValue="W4piou5G+NMQ8OzOT1tIC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6476D-C95D-46FB-A760-79DDD4A95A65}">
  <sheetPr codeName="Sheet67"/>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+'11.5 Grants Approp Rsrv'!F27</f>
        <v>630604.05000000005</v>
      </c>
      <c r="G8" s="728">
        <f>+'11.5 Grants Approp Rsrv'!G27</f>
        <v>31118.080000000002</v>
      </c>
      <c r="H8" s="728">
        <f>+'11.5 Grants Approp Rsrv'!H27</f>
        <v>0</v>
      </c>
      <c r="I8" s="728">
        <f>+'11.5 Grants Approp Rsrv'!I27</f>
        <v>466138.86</v>
      </c>
      <c r="J8" s="728">
        <f>+'11.5 Grants Approp Rsrv'!J27</f>
        <v>0</v>
      </c>
      <c r="K8" s="728">
        <f>+'11.5 Grants Approp Rsrv'!K27</f>
        <v>0</v>
      </c>
      <c r="L8" s="729">
        <f>+'11.5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3294</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0QXk1sqhbe3wiXnt/hiPsEfJhaSiLY3SNprgdqBAEwvMzBF0J2/2wpt24Jqp8A8J1h/DUsrJ1qrsaIyTbUQk3g==" saltValue="fNUCbi4Wya4c8J51lMrXrA=="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CDCDF-C5DE-496A-99F4-B38C38BA2534}">
  <sheetPr codeName="Sheet68"/>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+'11.6 Grants Approp Rsrv'!F27</f>
        <v>630604.05000000005</v>
      </c>
      <c r="G8" s="728">
        <f>+'11.6 Grants Approp Rsrv'!G27</f>
        <v>31118.080000000002</v>
      </c>
      <c r="H8" s="728">
        <f>+'11.6 Grants Approp Rsrv'!H27</f>
        <v>0</v>
      </c>
      <c r="I8" s="728">
        <f>+'11.6 Grants Approp Rsrv'!I27</f>
        <v>466138.86</v>
      </c>
      <c r="J8" s="728">
        <f>+'11.6 Grants Approp Rsrv'!J27</f>
        <v>0</v>
      </c>
      <c r="K8" s="728">
        <f>+'11.6 Grants Approp Rsrv'!K27</f>
        <v>0</v>
      </c>
      <c r="L8" s="729">
        <f>+'11.6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3295</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efOIc960CH60I1jHRXp1tGYYo0ztExmFG9i3BeEclTHF8pg2e83LhdwPtK+LuKyBhKYmDnbZlP5pTcOVJcD2QQ==" saltValue="oLHooshMHC/ST/LLgtU+I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95BD5-C21F-4250-873F-D1EAF2674F31}">
  <sheetPr codeName="Sheet69"/>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+'11.7 Grants Approp Rsrv'!F27</f>
        <v>630604.05000000005</v>
      </c>
      <c r="G8" s="728">
        <f>+'11.7 Grants Approp Rsrv'!G27</f>
        <v>31118.080000000002</v>
      </c>
      <c r="H8" s="728">
        <f>+'11.7 Grants Approp Rsrv'!H27</f>
        <v>0</v>
      </c>
      <c r="I8" s="728">
        <f>+'11.7 Grants Approp Rsrv'!I27</f>
        <v>466138.86</v>
      </c>
      <c r="J8" s="728">
        <f>+'11.7 Grants Approp Rsrv'!J27</f>
        <v>0</v>
      </c>
      <c r="K8" s="728">
        <f>+'11.7 Grants Approp Rsrv'!K27</f>
        <v>0</v>
      </c>
      <c r="L8" s="729">
        <f>+'11.7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3296</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KOtmHQDc+OCfjwHw5gYu4CqbqdNndZL8DlEPFsCR19ukKv7nrOqZL9erG/U+RtESZyhfnyW0rgiEEd+vCELHRg==" saltValue="1GNSsAWnINS2cqLLlqCPw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C4:P67"/>
  <sheetViews>
    <sheetView topLeftCell="A33" zoomScaleNormal="100" workbookViewId="0">
      <selection activeCell="C67" sqref="C67:M67"/>
    </sheetView>
  </sheetViews>
  <sheetFormatPr defaultRowHeight="13.2"/>
  <cols>
    <col min="1" max="5" width="4.6640625" customWidth="1"/>
    <col min="13" max="13" width="11.109375" customWidth="1"/>
  </cols>
  <sheetData>
    <row r="4" spans="3:13" ht="15.6">
      <c r="C4" s="1168" t="s">
        <v>654</v>
      </c>
      <c r="D4" s="1168"/>
      <c r="E4" s="1168"/>
      <c r="F4" s="1168"/>
      <c r="G4" s="1168"/>
      <c r="H4" s="1168"/>
      <c r="I4" s="1168"/>
      <c r="J4" s="1168"/>
      <c r="K4" s="1168"/>
      <c r="L4" s="1168"/>
      <c r="M4" s="1168"/>
    </row>
    <row r="5" spans="3:13" ht="15.6">
      <c r="C5" s="1168" t="s">
        <v>655</v>
      </c>
      <c r="D5" s="1168"/>
      <c r="E5" s="1168"/>
      <c r="F5" s="1168"/>
      <c r="G5" s="1168"/>
      <c r="H5" s="1168"/>
      <c r="I5" s="1168"/>
      <c r="J5" s="1168"/>
      <c r="K5" s="1168"/>
      <c r="L5" s="1168"/>
      <c r="M5" s="1168"/>
    </row>
    <row r="6" spans="3:13" ht="15.6">
      <c r="C6" s="1168" t="s">
        <v>656</v>
      </c>
      <c r="D6" s="1168"/>
      <c r="E6" s="1168"/>
      <c r="F6" s="1168"/>
      <c r="G6" s="1168"/>
      <c r="H6" s="1168"/>
      <c r="I6" s="1168"/>
      <c r="J6" s="1168"/>
      <c r="K6" s="1168"/>
      <c r="L6" s="1168"/>
      <c r="M6" s="1168"/>
    </row>
    <row r="9" spans="3:13">
      <c r="D9" s="160" t="s">
        <v>657</v>
      </c>
    </row>
    <row r="10" spans="3:13">
      <c r="D10" s="160" t="s">
        <v>658</v>
      </c>
    </row>
    <row r="11" spans="3:13" ht="13.8" thickBot="1"/>
    <row r="12" spans="3:13">
      <c r="C12" s="161"/>
      <c r="D12" s="162"/>
      <c r="E12" s="162"/>
      <c r="F12" s="162"/>
      <c r="G12" s="162"/>
      <c r="H12" s="162"/>
      <c r="I12" s="162"/>
      <c r="J12" s="162"/>
      <c r="K12" s="162"/>
      <c r="L12" s="162"/>
      <c r="M12" s="163"/>
    </row>
    <row r="13" spans="3:13">
      <c r="C13" s="164"/>
      <c r="D13" s="1158" t="s">
        <v>659</v>
      </c>
      <c r="E13" s="1158"/>
      <c r="F13" s="1158"/>
      <c r="G13" s="1158"/>
      <c r="H13" s="1158"/>
      <c r="I13" s="1158"/>
      <c r="J13" s="1158"/>
      <c r="K13" s="1158"/>
      <c r="L13" s="1158"/>
      <c r="M13" s="165"/>
    </row>
    <row r="14" spans="3:13">
      <c r="C14" s="164"/>
      <c r="M14" s="165"/>
    </row>
    <row r="15" spans="3:13">
      <c r="C15" s="164"/>
      <c r="D15" s="93" t="s">
        <v>292</v>
      </c>
      <c r="F15" t="s">
        <v>660</v>
      </c>
      <c r="M15" s="165"/>
    </row>
    <row r="16" spans="3:13">
      <c r="C16" s="164"/>
      <c r="D16" s="93"/>
      <c r="M16" s="165"/>
    </row>
    <row r="17" spans="3:16">
      <c r="C17" s="164"/>
      <c r="D17" s="93" t="s">
        <v>293</v>
      </c>
      <c r="F17" t="s">
        <v>662</v>
      </c>
      <c r="M17" s="165"/>
    </row>
    <row r="18" spans="3:16">
      <c r="C18" s="164"/>
      <c r="D18" s="93"/>
      <c r="F18" t="s">
        <v>661</v>
      </c>
      <c r="M18" s="165"/>
    </row>
    <row r="19" spans="3:16">
      <c r="C19" s="164"/>
      <c r="D19" s="93"/>
      <c r="M19" s="165"/>
    </row>
    <row r="20" spans="3:16">
      <c r="C20" s="164"/>
      <c r="D20" s="93" t="s">
        <v>294</v>
      </c>
      <c r="F20" t="s">
        <v>630</v>
      </c>
      <c r="M20" s="165"/>
    </row>
    <row r="21" spans="3:16">
      <c r="C21" s="164"/>
      <c r="D21" s="93"/>
      <c r="M21" s="165"/>
    </row>
    <row r="22" spans="3:16">
      <c r="C22" s="164"/>
      <c r="D22" s="93" t="s">
        <v>295</v>
      </c>
      <c r="F22" t="s">
        <v>820</v>
      </c>
      <c r="M22" s="165"/>
    </row>
    <row r="23" spans="3:16">
      <c r="C23" s="164"/>
      <c r="D23" s="93"/>
      <c r="M23" s="165"/>
    </row>
    <row r="24" spans="3:16">
      <c r="C24" s="164"/>
      <c r="D24" s="93" t="s">
        <v>296</v>
      </c>
      <c r="F24" t="s">
        <v>72</v>
      </c>
      <c r="M24" s="165"/>
    </row>
    <row r="25" spans="3:16">
      <c r="C25" s="164"/>
      <c r="D25" s="93"/>
      <c r="F25" t="s">
        <v>821</v>
      </c>
      <c r="M25" s="165"/>
    </row>
    <row r="26" spans="3:16">
      <c r="C26" s="164"/>
      <c r="D26" s="93"/>
      <c r="M26" s="165"/>
    </row>
    <row r="27" spans="3:16">
      <c r="C27" s="164"/>
      <c r="D27" s="93" t="s">
        <v>297</v>
      </c>
      <c r="F27" t="s">
        <v>73</v>
      </c>
      <c r="M27" s="165"/>
    </row>
    <row r="28" spans="3:16">
      <c r="C28" s="164"/>
      <c r="D28" s="93"/>
      <c r="M28" s="165"/>
    </row>
    <row r="29" spans="3:16">
      <c r="C29" s="164"/>
      <c r="D29" s="93" t="s">
        <v>298</v>
      </c>
      <c r="F29" s="239" t="s">
        <v>3533</v>
      </c>
      <c r="M29" s="165"/>
      <c r="P29" s="294"/>
    </row>
    <row r="30" spans="3:16">
      <c r="C30" s="164"/>
      <c r="D30" s="93"/>
      <c r="F30" t="s">
        <v>88</v>
      </c>
      <c r="M30" s="165"/>
    </row>
    <row r="31" spans="3:16">
      <c r="C31" s="164"/>
      <c r="D31" s="93"/>
      <c r="M31" s="165"/>
    </row>
    <row r="32" spans="3:16">
      <c r="C32" s="164"/>
      <c r="D32" s="93" t="s">
        <v>384</v>
      </c>
      <c r="F32" s="239" t="s">
        <v>3534</v>
      </c>
      <c r="M32" s="165"/>
    </row>
    <row r="33" spans="3:13">
      <c r="C33" s="164"/>
      <c r="D33" s="93"/>
      <c r="F33" t="s">
        <v>482</v>
      </c>
      <c r="M33" s="165"/>
    </row>
    <row r="34" spans="3:13">
      <c r="C34" s="164"/>
      <c r="D34" s="93"/>
      <c r="M34" s="165"/>
    </row>
    <row r="35" spans="3:13">
      <c r="C35" s="164"/>
      <c r="D35" s="93" t="s">
        <v>385</v>
      </c>
      <c r="F35" s="239" t="s">
        <v>3532</v>
      </c>
      <c r="M35" s="165"/>
    </row>
    <row r="36" spans="3:13">
      <c r="C36" s="164"/>
      <c r="D36" s="93"/>
      <c r="M36" s="165"/>
    </row>
    <row r="37" spans="3:13">
      <c r="C37" s="164"/>
      <c r="D37" s="93" t="s">
        <v>386</v>
      </c>
      <c r="F37" t="str">
        <f>"The municipality has not applied for Transitional Aid for "&amp;IF('KEY INPUTS'!C42="State Fiscal Year","Fiscal Year "&amp;TEXT('KEY INPUTS'!D33+1,"0")&amp;"",'KEY INPUTS'!D33)&amp;"."</f>
        <v>The municipality has not applied for Transitional Aid for 2025.</v>
      </c>
      <c r="M37" s="165"/>
    </row>
    <row r="38" spans="3:13">
      <c r="C38" s="164"/>
      <c r="D38" s="93"/>
      <c r="M38" s="165"/>
    </row>
    <row r="39" spans="3:13">
      <c r="C39" s="164"/>
      <c r="D39" s="93" t="s">
        <v>223</v>
      </c>
      <c r="F39" s="239" t="s">
        <v>3531</v>
      </c>
      <c r="M39" s="165"/>
    </row>
    <row r="40" spans="3:13">
      <c r="C40" s="164"/>
      <c r="D40" s="93"/>
      <c r="F40" s="239" t="s">
        <v>3530</v>
      </c>
      <c r="M40" s="165"/>
    </row>
    <row r="41" spans="3:13">
      <c r="C41" s="164"/>
      <c r="D41" s="93"/>
      <c r="M41" s="165"/>
    </row>
    <row r="42" spans="3:13">
      <c r="C42" s="164"/>
      <c r="D42" t="s">
        <v>158</v>
      </c>
      <c r="M42" s="165"/>
    </row>
    <row r="43" spans="3:13">
      <c r="C43" s="164"/>
      <c r="D43" s="37" t="s">
        <v>766</v>
      </c>
      <c r="M43" s="165"/>
    </row>
    <row r="44" spans="3:13">
      <c r="C44" s="164"/>
      <c r="D44" s="239" t="s">
        <v>3554</v>
      </c>
      <c r="M44" s="165"/>
    </row>
    <row r="45" spans="3:13">
      <c r="C45" s="164"/>
      <c r="D45" s="93"/>
      <c r="M45" s="165"/>
    </row>
    <row r="46" spans="3:13" ht="21" customHeight="1">
      <c r="C46" s="164"/>
      <c r="D46" s="169" t="s">
        <v>74</v>
      </c>
      <c r="H46" s="1170" t="str">
        <f>'KEY INPUTS'!D9</f>
        <v>BOROUGH OF MILFORD</v>
      </c>
      <c r="I46" s="1170"/>
      <c r="J46" s="1170"/>
      <c r="K46" s="1170"/>
      <c r="L46" s="1170"/>
      <c r="M46" s="165"/>
    </row>
    <row r="47" spans="3:13" ht="21" customHeight="1">
      <c r="C47" s="164"/>
      <c r="D47" s="169" t="s">
        <v>75</v>
      </c>
      <c r="H47" s="1155" t="s">
        <v>3794</v>
      </c>
      <c r="I47" s="1156"/>
      <c r="J47" s="1156"/>
      <c r="K47" s="1156"/>
      <c r="L47" s="1156"/>
      <c r="M47" s="165"/>
    </row>
    <row r="48" spans="3:13" ht="21" customHeight="1">
      <c r="C48" s="164"/>
      <c r="D48" s="169" t="s">
        <v>117</v>
      </c>
      <c r="H48" s="1155" t="s">
        <v>3810</v>
      </c>
      <c r="I48" s="1156"/>
      <c r="J48" s="1156"/>
      <c r="K48" s="1156"/>
      <c r="L48" s="1156"/>
      <c r="M48" s="165"/>
    </row>
    <row r="49" spans="3:15" ht="21" customHeight="1">
      <c r="C49" s="164"/>
      <c r="D49" s="112" t="s">
        <v>76</v>
      </c>
      <c r="H49" s="1155" t="s">
        <v>3809</v>
      </c>
      <c r="I49" s="1156"/>
      <c r="J49" s="1156"/>
      <c r="K49" s="1156"/>
      <c r="L49" s="1156"/>
      <c r="M49" s="165"/>
    </row>
    <row r="50" spans="3:15" ht="21" customHeight="1">
      <c r="C50" s="164"/>
      <c r="D50" s="112" t="s">
        <v>652</v>
      </c>
      <c r="H50" s="1169">
        <v>45729</v>
      </c>
      <c r="I50" s="1155"/>
      <c r="J50" s="1155"/>
      <c r="K50" s="1155"/>
      <c r="L50" s="1155"/>
      <c r="M50" s="165"/>
    </row>
    <row r="51" spans="3:15" ht="13.8" thickBot="1">
      <c r="C51" s="166"/>
      <c r="D51" s="167"/>
      <c r="E51" s="167"/>
      <c r="F51" s="167"/>
      <c r="G51" s="167"/>
      <c r="H51" s="167"/>
      <c r="I51" s="167"/>
      <c r="J51" s="167"/>
      <c r="K51" s="167"/>
      <c r="L51" s="167"/>
      <c r="M51" s="168"/>
    </row>
    <row r="52" spans="3:15" ht="13.8" thickBot="1">
      <c r="O52" s="581"/>
    </row>
    <row r="53" spans="3:15">
      <c r="C53" s="161"/>
      <c r="D53" s="162"/>
      <c r="E53" s="162"/>
      <c r="F53" s="162"/>
      <c r="G53" s="162"/>
      <c r="H53" s="162"/>
      <c r="I53" s="162"/>
      <c r="J53" s="162"/>
      <c r="K53" s="162"/>
      <c r="L53" s="162"/>
      <c r="M53" s="163"/>
    </row>
    <row r="54" spans="3:15">
      <c r="C54" s="164"/>
      <c r="D54" s="1158" t="s">
        <v>822</v>
      </c>
      <c r="E54" s="1158"/>
      <c r="F54" s="1158"/>
      <c r="G54" s="1158"/>
      <c r="H54" s="1158"/>
      <c r="I54" s="1158"/>
      <c r="J54" s="1158"/>
      <c r="K54" s="1158"/>
      <c r="L54" s="1158"/>
      <c r="M54" s="165"/>
    </row>
    <row r="55" spans="3:15">
      <c r="C55" s="164"/>
      <c r="M55" s="165"/>
    </row>
    <row r="56" spans="3:15">
      <c r="C56" s="164"/>
      <c r="D56" t="s">
        <v>3346</v>
      </c>
      <c r="M56" s="165"/>
    </row>
    <row r="57" spans="3:15">
      <c r="C57" s="164"/>
      <c r="D57" s="512"/>
      <c r="E57" s="512"/>
      <c r="F57" s="512"/>
      <c r="G57" s="37" t="s">
        <v>3477</v>
      </c>
      <c r="M57" s="165"/>
    </row>
    <row r="58" spans="3:15">
      <c r="C58" s="164"/>
      <c r="D58" t="s">
        <v>119</v>
      </c>
      <c r="M58" s="165"/>
    </row>
    <row r="59" spans="3:15">
      <c r="C59" s="164"/>
      <c r="M59" s="165"/>
    </row>
    <row r="60" spans="3:15">
      <c r="C60" s="164"/>
      <c r="M60" s="165"/>
    </row>
    <row r="61" spans="3:15" ht="21" customHeight="1">
      <c r="C61" s="164"/>
      <c r="D61" s="169" t="s">
        <v>74</v>
      </c>
      <c r="H61" s="1161" t="str">
        <f>+'KEY INPUTS'!D9</f>
        <v>BOROUGH OF MILFORD</v>
      </c>
      <c r="I61" s="1161"/>
      <c r="J61" s="1161"/>
      <c r="K61" s="1161"/>
      <c r="L61" s="1161"/>
      <c r="M61" s="165"/>
    </row>
    <row r="62" spans="3:15" ht="21" customHeight="1">
      <c r="C62" s="164"/>
      <c r="D62" s="169" t="s">
        <v>75</v>
      </c>
      <c r="H62" s="1156"/>
      <c r="I62" s="1156"/>
      <c r="J62" s="1156"/>
      <c r="K62" s="1156"/>
      <c r="L62" s="1156"/>
      <c r="M62" s="165"/>
      <c r="O62" s="581"/>
    </row>
    <row r="63" spans="3:15" ht="21" customHeight="1">
      <c r="C63" s="164"/>
      <c r="D63" s="169" t="s">
        <v>117</v>
      </c>
      <c r="H63" s="1156"/>
      <c r="I63" s="1156"/>
      <c r="J63" s="1156"/>
      <c r="K63" s="1156"/>
      <c r="L63" s="1156"/>
      <c r="M63" s="165"/>
    </row>
    <row r="64" spans="3:15" ht="21" customHeight="1">
      <c r="C64" s="164"/>
      <c r="D64" s="112" t="s">
        <v>76</v>
      </c>
      <c r="H64" s="1156"/>
      <c r="I64" s="1156"/>
      <c r="J64" s="1156"/>
      <c r="K64" s="1156"/>
      <c r="L64" s="1156"/>
      <c r="M64" s="165"/>
    </row>
    <row r="65" spans="3:13" ht="21" customHeight="1">
      <c r="C65" s="164"/>
      <c r="D65" s="112" t="s">
        <v>652</v>
      </c>
      <c r="H65" s="1156"/>
      <c r="I65" s="1156"/>
      <c r="J65" s="1156"/>
      <c r="K65" s="1156"/>
      <c r="L65" s="1156"/>
      <c r="M65" s="165"/>
    </row>
    <row r="66" spans="3:13" ht="13.8" thickBot="1">
      <c r="C66" s="166"/>
      <c r="D66" s="167"/>
      <c r="E66" s="167"/>
      <c r="F66" s="167"/>
      <c r="G66" s="167"/>
      <c r="H66" s="167"/>
      <c r="I66" s="167"/>
      <c r="J66" s="167"/>
      <c r="K66" s="167"/>
      <c r="L66" s="167"/>
      <c r="M66" s="168"/>
    </row>
    <row r="67" spans="3:13" ht="13.8">
      <c r="C67" s="1130" t="s">
        <v>653</v>
      </c>
      <c r="D67" s="1130"/>
      <c r="E67" s="1130"/>
      <c r="F67" s="1130"/>
      <c r="G67" s="1130"/>
      <c r="H67" s="1130"/>
      <c r="I67" s="1130"/>
      <c r="J67" s="1130"/>
      <c r="K67" s="1130"/>
      <c r="L67" s="1130"/>
      <c r="M67" s="1130"/>
    </row>
  </sheetData>
  <sheetProtection algorithmName="SHA-512" hashValue="qpslh6P/OAwvp8YqYlMZNKIQCRefz1XgStvr7CHqE+0YvPz2fQV3aJTKz4+CPPQQoSg5uKeFzCDaWs03Mjw2uA==" saltValue="DePSb4+I3arPjwCzZCdoxA==" spinCount="100000" sheet="1" objects="1" scenarios="1"/>
  <mergeCells count="16">
    <mergeCell ref="C67:M67"/>
    <mergeCell ref="D54:L54"/>
    <mergeCell ref="H46:L46"/>
    <mergeCell ref="H47:L47"/>
    <mergeCell ref="H49:L49"/>
    <mergeCell ref="H62:L62"/>
    <mergeCell ref="H61:L61"/>
    <mergeCell ref="H65:L65"/>
    <mergeCell ref="C4:M4"/>
    <mergeCell ref="C5:M5"/>
    <mergeCell ref="C6:M6"/>
    <mergeCell ref="D13:L13"/>
    <mergeCell ref="H64:L64"/>
    <mergeCell ref="H48:L48"/>
    <mergeCell ref="H63:L63"/>
    <mergeCell ref="H50:L50"/>
  </mergeCells>
  <phoneticPr fontId="0" type="noConversion"/>
  <pageMargins left="0.25" right="0.25" top="0.5" bottom="0.5" header="0.25" footer="0.25"/>
  <pageSetup paperSize="5"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B9202-C7D4-4259-8FDF-468FD94406BA}">
  <sheetPr codeName="Sheet70"/>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+'11.8 Grants Approp Rsrv'!F27</f>
        <v>630604.05000000005</v>
      </c>
      <c r="G8" s="728">
        <f>+'11.8 Grants Approp Rsrv'!G27</f>
        <v>31118.080000000002</v>
      </c>
      <c r="H8" s="728">
        <f>+'11.8 Grants Approp Rsrv'!H27</f>
        <v>0</v>
      </c>
      <c r="I8" s="728">
        <f>+'11.8 Grants Approp Rsrv'!I27</f>
        <v>466138.86</v>
      </c>
      <c r="J8" s="728">
        <f>+'11.8 Grants Approp Rsrv'!J27</f>
        <v>0</v>
      </c>
      <c r="K8" s="728">
        <f>+'11.8 Grants Approp Rsrv'!K27</f>
        <v>0</v>
      </c>
      <c r="L8" s="729">
        <f>+'11.8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3297</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5DzsLnJaC2pgVIr+/jDkkptwWgpWtpttpIBCuvrWiGGKPYlDnWZrZWKUtFKDV0F/pD1IEAUhwOXDvAiglqyDKw==" saltValue="S8kSyCtDd89x8yMN8vY5t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B6566-FC16-4293-8512-EBBBB37EFA1D}">
  <sheetPr codeName="Sheet71"/>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+'11.9 Grants Approp Rsrv'!F27</f>
        <v>630604.05000000005</v>
      </c>
      <c r="G8" s="728">
        <f>+'11.9 Grants Approp Rsrv'!G27</f>
        <v>31118.080000000002</v>
      </c>
      <c r="H8" s="728">
        <f>+'11.9 Grants Approp Rsrv'!H27</f>
        <v>0</v>
      </c>
      <c r="I8" s="728">
        <f>+'11.9 Grants Approp Rsrv'!I27</f>
        <v>466138.86</v>
      </c>
      <c r="J8" s="728">
        <f>+'11.9 Grants Approp Rsrv'!J27</f>
        <v>0</v>
      </c>
      <c r="K8" s="728">
        <f>+'11.9 Grants Approp Rsrv'!K27</f>
        <v>0</v>
      </c>
      <c r="L8" s="729">
        <f>+'11.9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3298</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c365OOvDe2RZWdficwQrGOLWNtbvIzwTTv4Ao+WXli0bAuHet6M+cl45xlfud3oMkhM8O+exW/K46v7z/4AL9Q==" saltValue="lvNWrA4dzGN60rfJySvF2w=="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243F2-0D02-4B5D-AA71-0D4A146EFD97}">
  <sheetPr codeName="Sheet72"/>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+'11.10 Grants Approp Rsrv'!F27</f>
        <v>630604.05000000005</v>
      </c>
      <c r="G8" s="728">
        <f>+'11.10 Grants Approp Rsrv'!G27</f>
        <v>31118.080000000002</v>
      </c>
      <c r="H8" s="728">
        <f>+'11.10 Grants Approp Rsrv'!H27</f>
        <v>0</v>
      </c>
      <c r="I8" s="728">
        <f>+'11.10 Grants Approp Rsrv'!I27</f>
        <v>466138.86</v>
      </c>
      <c r="J8" s="728">
        <f>+'11.10 Grants Approp Rsrv'!J27</f>
        <v>0</v>
      </c>
      <c r="K8" s="728">
        <f>+'11.10 Grants Approp Rsrv'!K27</f>
        <v>0</v>
      </c>
      <c r="L8" s="729">
        <f>+'11.10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3299</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VCaOLm78E6GtLDKfpfBscTfnbnZyefTU13tsvkGe0vdtYG2VxAoNrWk1kaXOLHeAh0NW8NNIbFrNrInNtEajyg==" saltValue="wz0tTxV4s1LUNP04BmuGbw=="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4F00A-0BEC-40F8-8149-A53BE4047FEE}">
  <sheetPr codeName="Sheet73"/>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+'11.11 Grants Approp Rsrv'!F27</f>
        <v>630604.05000000005</v>
      </c>
      <c r="G8" s="728">
        <f>+'11.11 Grants Approp Rsrv'!G27</f>
        <v>31118.080000000002</v>
      </c>
      <c r="H8" s="728">
        <f>+'11.11 Grants Approp Rsrv'!H27</f>
        <v>0</v>
      </c>
      <c r="I8" s="728">
        <f>+'11.11 Grants Approp Rsrv'!I27</f>
        <v>466138.86</v>
      </c>
      <c r="J8" s="728">
        <f>+'11.11 Grants Approp Rsrv'!J27</f>
        <v>0</v>
      </c>
      <c r="K8" s="728">
        <f>+'11.11 Grants Approp Rsrv'!K27</f>
        <v>0</v>
      </c>
      <c r="L8" s="729">
        <f>+'11.11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3300</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Y6Bss9pWfh1xxHBvYFwMFthBjG+DeT8SAhdkhqq+o7M0EcOoYlmqIyQQtwbvSdJDZE+jY4PfpZ2M9kqlbGUI+A==" saltValue="U5jVnmhDf/bjmdsZmpe9c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F62B-737C-47AA-9D57-A73237088558}">
  <sheetPr codeName="Sheet74"/>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+'11.12 Grants Approp Rsrv'!F27</f>
        <v>630604.05000000005</v>
      </c>
      <c r="G8" s="728">
        <f>+'11.12 Grants Approp Rsrv'!G27</f>
        <v>31118.080000000002</v>
      </c>
      <c r="H8" s="728">
        <f>+'11.12 Grants Approp Rsrv'!H27</f>
        <v>0</v>
      </c>
      <c r="I8" s="728">
        <f>+'11.12 Grants Approp Rsrv'!I27</f>
        <v>466138.86</v>
      </c>
      <c r="J8" s="728">
        <f>+'11.12 Grants Approp Rsrv'!J27</f>
        <v>0</v>
      </c>
      <c r="K8" s="728">
        <f>+'11.12 Grants Approp Rsrv'!K27</f>
        <v>0</v>
      </c>
      <c r="L8" s="729">
        <f>+'11.12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3301</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wqdihweT7U5iWQObELVQBqfv7h/tHDeV15wPeZUSM8FSbJ6xmqR6rr9wdbTMXX6eYliWxL0awHKKuwz7pGs3AQ==" saltValue="cI+bomyLdlx+BocitDiEs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31811-47F0-4C2D-AA6F-58E396BE85AC}">
  <sheetPr codeName="Sheet75"/>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+'11.13 Grants Approp Rsrv'!F27</f>
        <v>630604.05000000005</v>
      </c>
      <c r="G8" s="728">
        <f>+'11.13 Grants Approp Rsrv'!G27</f>
        <v>31118.080000000002</v>
      </c>
      <c r="H8" s="728">
        <f>+'11.13 Grants Approp Rsrv'!H27</f>
        <v>0</v>
      </c>
      <c r="I8" s="728">
        <f>+'11.13 Grants Approp Rsrv'!I27</f>
        <v>466138.86</v>
      </c>
      <c r="J8" s="728">
        <f>+'11.13 Grants Approp Rsrv'!J27</f>
        <v>0</v>
      </c>
      <c r="K8" s="728">
        <f>+'11.13 Grants Approp Rsrv'!K27</f>
        <v>0</v>
      </c>
      <c r="L8" s="729">
        <f>+'11.13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3302</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mJkoFKhxnM7tuZupqmBjilMEDHhsd/R+IoQ2ByBHqXV56mRLs7kqDxSyqoViziweLEWJ+N8SAtuSnXCXbOw/JQ==" saltValue="px5kPFHmvHx2EzqljQTYp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ACB14-2351-454D-888A-0A50127B1FD0}">
  <sheetPr codeName="Sheet76"/>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+'11.14 Grants Approp Rsrv'!F27</f>
        <v>630604.05000000005</v>
      </c>
      <c r="G8" s="728">
        <f>+'11.14 Grants Approp Rsrv'!G27</f>
        <v>31118.080000000002</v>
      </c>
      <c r="H8" s="728">
        <f>+'11.14 Grants Approp Rsrv'!H27</f>
        <v>0</v>
      </c>
      <c r="I8" s="728">
        <f>+'11.14 Grants Approp Rsrv'!I27</f>
        <v>466138.86</v>
      </c>
      <c r="J8" s="728">
        <f>+'11.14 Grants Approp Rsrv'!J27</f>
        <v>0</v>
      </c>
      <c r="K8" s="728">
        <f>+'11.14 Grants Approp Rsrv'!K27</f>
        <v>0</v>
      </c>
      <c r="L8" s="729">
        <f>+'11.14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3303</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FQaPKMK/EIzqJ3Rgu2M60wWzYfCDScCJv/smUCLbtjoWIKXu5K3pF5gEHcSkVvOHVVR4PKwi36xPn9WfBXIGwA==" saltValue="OhyIUe4XFoUhLQ5rNfWyW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2C868-55FA-48A4-9710-71C2FEDE6E65}">
  <sheetPr codeName="Sheet77"/>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+'11.15 Grants Approp Rsrv'!F27</f>
        <v>630604.05000000005</v>
      </c>
      <c r="G8" s="728">
        <f>+'11.15 Grants Approp Rsrv'!G27</f>
        <v>31118.080000000002</v>
      </c>
      <c r="H8" s="728">
        <f>+'11.15 Grants Approp Rsrv'!H27</f>
        <v>0</v>
      </c>
      <c r="I8" s="728">
        <f>+'11.15 Grants Approp Rsrv'!I27</f>
        <v>466138.86</v>
      </c>
      <c r="J8" s="728">
        <f>+'11.15 Grants Approp Rsrv'!J27</f>
        <v>0</v>
      </c>
      <c r="K8" s="728">
        <f>+'11.15 Grants Approp Rsrv'!K27</f>
        <v>0</v>
      </c>
      <c r="L8" s="729">
        <f>+'11.15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3304</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etM4BDeCOZeCZceW5fHDyhNrLb9sjSUjwQy3BVeK5JVVDytZ0kFMRMAqex64bByZWNwU4ZxqawwC/Y/RMsvQIQ==" saltValue="IcB66kLD1VFjpvty2rC7n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0A8AF-6C2F-4BB1-8A29-82E791B8C027}">
  <sheetPr codeName="Sheet78"/>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+'11.16 Grants Approp Rsrv'!F27</f>
        <v>630604.05000000005</v>
      </c>
      <c r="G8" s="728">
        <f>+'11.16 Grants Approp Rsrv'!G27</f>
        <v>31118.080000000002</v>
      </c>
      <c r="H8" s="728">
        <f>+'11.16 Grants Approp Rsrv'!H27</f>
        <v>0</v>
      </c>
      <c r="I8" s="728">
        <f>+'11.16 Grants Approp Rsrv'!I27</f>
        <v>466138.86</v>
      </c>
      <c r="J8" s="728">
        <f>+'11.16 Grants Approp Rsrv'!J27</f>
        <v>0</v>
      </c>
      <c r="K8" s="728">
        <f>+'11.16 Grants Approp Rsrv'!K27</f>
        <v>0</v>
      </c>
      <c r="L8" s="729">
        <f>+'11.16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3305</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ZWjW6nx9Zwj7H8Mht7V5jSvR/vp6iVSFNOArMxvjBpfy9NdB3MCiL9tkRQLwqqZrzf7NgKt1nSLi1graNGUFJg==" saltValue="JSgM+s5WZoLh+yTi76EVgw=="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159EF-7FD2-4C88-95D3-3FE8FFAF8AA2}">
  <sheetPr codeName="Sheet79"/>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+'11.17 Grants Approp Rsrv'!F27</f>
        <v>630604.05000000005</v>
      </c>
      <c r="G8" s="728">
        <f>+'11.17 Grants Approp Rsrv'!G27</f>
        <v>31118.080000000002</v>
      </c>
      <c r="H8" s="728">
        <f>+'11.17 Grants Approp Rsrv'!H27</f>
        <v>0</v>
      </c>
      <c r="I8" s="728">
        <f>+'11.17 Grants Approp Rsrv'!I27</f>
        <v>466138.86</v>
      </c>
      <c r="J8" s="728">
        <f>+'11.17 Grants Approp Rsrv'!J27</f>
        <v>0</v>
      </c>
      <c r="K8" s="728">
        <f>+'11.17 Grants Approp Rsrv'!K27</f>
        <v>0</v>
      </c>
      <c r="L8" s="729">
        <f>+'11.17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3306</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iIASBsifkGaJmC1YZ7zGIAtoi3nsTMKm7/6uYMDfW6rkheA6EF+0ogaGn9bs6ddpxKay5hmyB8X/UYcUYKqxRA==" saltValue="NLwyj8PqZNnlDcovOX7OZ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B4:P71"/>
  <sheetViews>
    <sheetView topLeftCell="A33" zoomScaleNormal="100" workbookViewId="0">
      <selection activeCell="C61" sqref="C61:F61"/>
    </sheetView>
  </sheetViews>
  <sheetFormatPr defaultRowHeight="13.2"/>
  <cols>
    <col min="1" max="1" width="4" customWidth="1"/>
    <col min="2" max="2" width="5.44140625" customWidth="1"/>
    <col min="3" max="3" width="2.6640625" customWidth="1"/>
    <col min="4" max="4" width="12.6640625" customWidth="1"/>
    <col min="5" max="5" width="15.44140625" bestFit="1" customWidth="1"/>
    <col min="6" max="6" width="1.6640625" customWidth="1"/>
    <col min="7" max="7" width="4.6640625" customWidth="1"/>
    <col min="8" max="8" width="12.6640625" customWidth="1"/>
    <col min="9" max="9" width="4.5546875" customWidth="1"/>
    <col min="10" max="10" width="1.6640625" customWidth="1"/>
    <col min="11" max="11" width="16.6640625" customWidth="1"/>
    <col min="13" max="13" width="9.44140625" customWidth="1"/>
    <col min="14" max="14" width="12.88671875" bestFit="1" customWidth="1"/>
    <col min="16" max="16" width="11.88671875" hidden="1" customWidth="1"/>
  </cols>
  <sheetData>
    <row r="4" spans="2:13">
      <c r="B4" s="1161" t="str">
        <f>IF('KEY INPUTS'!D13=0,"NO ENTRY",'KEY INPUTS'!D13)</f>
        <v>22-6002081</v>
      </c>
      <c r="C4" s="1161"/>
      <c r="D4" s="1161"/>
      <c r="E4" s="1161"/>
    </row>
    <row r="5" spans="2:13">
      <c r="B5" s="1171" t="s">
        <v>345</v>
      </c>
      <c r="C5" s="1171"/>
      <c r="D5" s="1171"/>
      <c r="E5" s="1171"/>
    </row>
    <row r="8" spans="2:13">
      <c r="B8" s="1161" t="str">
        <f>+'KEY INPUTS'!D9</f>
        <v>BOROUGH OF MILFORD</v>
      </c>
      <c r="C8" s="1161"/>
      <c r="D8" s="1161"/>
      <c r="E8" s="1161"/>
    </row>
    <row r="9" spans="2:13">
      <c r="B9" s="1171" t="s">
        <v>346</v>
      </c>
      <c r="C9" s="1171"/>
      <c r="D9" s="1171"/>
      <c r="E9" s="1171"/>
    </row>
    <row r="12" spans="2:13">
      <c r="B12" s="1161" t="str">
        <f>+'KEY INPUTS'!D10</f>
        <v>HUNTERDON</v>
      </c>
      <c r="C12" s="1161"/>
      <c r="D12" s="1161"/>
      <c r="E12" s="1161"/>
    </row>
    <row r="13" spans="2:13">
      <c r="B13" s="1171" t="s">
        <v>347</v>
      </c>
      <c r="C13" s="1171"/>
      <c r="D13" s="1171"/>
      <c r="E13" s="1171"/>
    </row>
    <row r="16" spans="2:13" ht="17.100000000000001" customHeight="1">
      <c r="B16" s="1130" t="s">
        <v>348</v>
      </c>
      <c r="C16" s="1130"/>
      <c r="D16" s="1130"/>
      <c r="E16" s="1130"/>
      <c r="F16" s="1130"/>
      <c r="G16" s="1130"/>
      <c r="H16" s="1130"/>
      <c r="I16" s="1130"/>
      <c r="J16" s="1130"/>
      <c r="K16" s="1130"/>
      <c r="L16" s="1130"/>
      <c r="M16" s="1130"/>
    </row>
    <row r="17" spans="2:16" ht="17.100000000000001" customHeight="1">
      <c r="B17" s="1130" t="s">
        <v>349</v>
      </c>
      <c r="C17" s="1130"/>
      <c r="D17" s="1130"/>
      <c r="E17" s="1130"/>
      <c r="F17" s="1130"/>
      <c r="G17" s="1130"/>
      <c r="H17" s="1130"/>
      <c r="I17" s="1130"/>
      <c r="J17" s="1130"/>
      <c r="K17" s="1130"/>
      <c r="L17" s="1130"/>
      <c r="M17" s="1130"/>
    </row>
    <row r="20" spans="2:16">
      <c r="G20" t="s">
        <v>350</v>
      </c>
      <c r="I20" s="1172">
        <f>IF('KEY INPUTS'!C42 = "State Fiscal Year", 'KEY INPUTS'!F47, 'KEY INPUTS'!D29)</f>
        <v>45657</v>
      </c>
      <c r="J20" s="1172"/>
      <c r="K20" s="1172"/>
    </row>
    <row r="23" spans="2:16">
      <c r="E23" s="224" t="s">
        <v>490</v>
      </c>
      <c r="G23" s="1173" t="s">
        <v>724</v>
      </c>
      <c r="H23" s="1173"/>
      <c r="I23" s="81"/>
      <c r="K23" s="81" t="s">
        <v>144</v>
      </c>
    </row>
    <row r="24" spans="2:16">
      <c r="E24" s="1" t="s">
        <v>769</v>
      </c>
      <c r="I24" s="1"/>
    </row>
    <row r="25" spans="2:16">
      <c r="E25" s="1" t="s">
        <v>235</v>
      </c>
      <c r="G25" s="1174" t="s">
        <v>725</v>
      </c>
      <c r="H25" s="1174"/>
      <c r="I25" s="1"/>
      <c r="K25" s="1" t="s">
        <v>770</v>
      </c>
    </row>
    <row r="26" spans="2:16">
      <c r="E26" s="1" t="s">
        <v>499</v>
      </c>
      <c r="G26" s="1174" t="s">
        <v>771</v>
      </c>
      <c r="H26" s="1174"/>
      <c r="K26" s="1" t="s">
        <v>771</v>
      </c>
    </row>
    <row r="27" spans="2:16">
      <c r="E27" s="1" t="s">
        <v>772</v>
      </c>
      <c r="G27" s="1174" t="s">
        <v>235</v>
      </c>
      <c r="H27" s="1174"/>
      <c r="K27" s="1" t="s">
        <v>235</v>
      </c>
    </row>
    <row r="29" spans="2:16">
      <c r="B29" s="1174" t="s">
        <v>786</v>
      </c>
      <c r="C29" s="1174"/>
      <c r="D29" s="38" t="s">
        <v>373</v>
      </c>
      <c r="E29" s="293">
        <v>466138.86</v>
      </c>
      <c r="F29" t="s">
        <v>373</v>
      </c>
      <c r="G29" s="1175" t="s">
        <v>3131</v>
      </c>
      <c r="H29" s="1175"/>
      <c r="J29" t="s">
        <v>373</v>
      </c>
      <c r="K29" s="293" t="s">
        <v>3131</v>
      </c>
      <c r="N29" s="204"/>
      <c r="P29" s="204" t="e">
        <f>+#REF!-G29</f>
        <v>#REF!</v>
      </c>
    </row>
    <row r="30" spans="2:16">
      <c r="H30" s="176"/>
      <c r="K30" s="204"/>
    </row>
    <row r="32" spans="2:16" ht="21" customHeight="1">
      <c r="G32" s="262" t="s">
        <v>881</v>
      </c>
      <c r="H32" s="239"/>
      <c r="I32" s="239"/>
      <c r="J32" s="239"/>
      <c r="K32" s="239"/>
      <c r="L32" s="239"/>
      <c r="M32" s="239"/>
    </row>
    <row r="33" spans="2:13" ht="21" customHeight="1">
      <c r="G33" s="262" t="s">
        <v>882</v>
      </c>
      <c r="H33" s="239"/>
      <c r="I33" s="239"/>
      <c r="J33" s="239"/>
      <c r="K33" s="239"/>
      <c r="L33" s="239"/>
      <c r="M33" s="239"/>
    </row>
    <row r="34" spans="2:13" ht="21" customHeight="1">
      <c r="G34" s="551" t="s">
        <v>3131</v>
      </c>
      <c r="H34" t="s">
        <v>787</v>
      </c>
    </row>
    <row r="35" spans="2:13" ht="21" customHeight="1">
      <c r="G35" s="555" t="s">
        <v>3131</v>
      </c>
      <c r="H35" t="s">
        <v>788</v>
      </c>
    </row>
    <row r="36" spans="2:13" ht="21" customHeight="1">
      <c r="G36" s="551" t="s">
        <v>3792</v>
      </c>
      <c r="H36" t="s">
        <v>789</v>
      </c>
    </row>
    <row r="37" spans="2:13">
      <c r="H37" t="s">
        <v>790</v>
      </c>
    </row>
    <row r="40" spans="2:13">
      <c r="B40" t="s">
        <v>720</v>
      </c>
      <c r="D40" s="267" t="s">
        <v>883</v>
      </c>
      <c r="E40" s="267"/>
      <c r="F40" s="267"/>
      <c r="G40" s="267"/>
    </row>
    <row r="41" spans="2:13">
      <c r="D41" s="267" t="s">
        <v>884</v>
      </c>
      <c r="E41" s="267"/>
      <c r="F41" s="267"/>
      <c r="G41" s="267"/>
    </row>
    <row r="42" spans="2:13">
      <c r="D42" s="269" t="s">
        <v>3558</v>
      </c>
      <c r="E42" s="267"/>
      <c r="F42" s="267"/>
      <c r="G42" s="267"/>
    </row>
    <row r="43" spans="2:13">
      <c r="D43" s="269" t="s">
        <v>885</v>
      </c>
      <c r="E43" s="267"/>
      <c r="F43" s="267"/>
      <c r="G43" s="267"/>
    </row>
    <row r="44" spans="2:13">
      <c r="D44" s="269" t="s">
        <v>886</v>
      </c>
      <c r="E44" s="267"/>
      <c r="F44" s="267"/>
      <c r="G44" s="267"/>
    </row>
    <row r="45" spans="2:13">
      <c r="D45" s="269" t="s">
        <v>887</v>
      </c>
      <c r="E45" s="267"/>
      <c r="F45" s="267"/>
      <c r="G45" s="267"/>
    </row>
    <row r="46" spans="2:13">
      <c r="D46" s="269"/>
      <c r="E46" s="267"/>
      <c r="F46" s="267"/>
      <c r="G46" s="267"/>
    </row>
    <row r="47" spans="2:13">
      <c r="B47" s="81" t="s">
        <v>490</v>
      </c>
      <c r="D47" t="s">
        <v>500</v>
      </c>
    </row>
    <row r="48" spans="2:13">
      <c r="D48" t="s">
        <v>773</v>
      </c>
    </row>
    <row r="49" spans="2:11">
      <c r="D49" t="s">
        <v>774</v>
      </c>
    </row>
    <row r="51" spans="2:11">
      <c r="B51" s="81" t="s">
        <v>724</v>
      </c>
      <c r="D51" t="s">
        <v>501</v>
      </c>
    </row>
    <row r="52" spans="2:11">
      <c r="D52" t="s">
        <v>109</v>
      </c>
    </row>
    <row r="53" spans="2:11">
      <c r="D53" s="112" t="s">
        <v>110</v>
      </c>
    </row>
    <row r="55" spans="2:11">
      <c r="B55" s="81" t="s">
        <v>144</v>
      </c>
      <c r="D55" t="s">
        <v>111</v>
      </c>
    </row>
    <row r="56" spans="2:11">
      <c r="D56" t="s">
        <v>112</v>
      </c>
    </row>
    <row r="60" spans="2:11">
      <c r="C60" s="1166" t="s">
        <v>3810</v>
      </c>
      <c r="D60" s="1164"/>
      <c r="E60" s="1164"/>
      <c r="F60" s="1164"/>
      <c r="K60" s="1124" t="s">
        <v>3793</v>
      </c>
    </row>
    <row r="61" spans="2:11">
      <c r="C61" s="1171" t="s">
        <v>785</v>
      </c>
      <c r="D61" s="1171"/>
      <c r="E61" s="1171"/>
      <c r="F61" s="1171"/>
      <c r="K61" s="1" t="s">
        <v>17</v>
      </c>
    </row>
    <row r="71" spans="2:13" ht="13.8">
      <c r="B71" s="1130" t="s">
        <v>77</v>
      </c>
      <c r="C71" s="1130"/>
      <c r="D71" s="1130"/>
      <c r="E71" s="1130"/>
      <c r="F71" s="1130"/>
      <c r="G71" s="1130"/>
      <c r="H71" s="1130"/>
      <c r="I71" s="1130"/>
      <c r="J71" s="1130"/>
      <c r="K71" s="1130"/>
      <c r="L71" s="1130"/>
      <c r="M71" s="1130"/>
    </row>
  </sheetData>
  <sheetProtection algorithmName="SHA-512" hashValue="GqMQAP2w1RqBIyrYn3U2Gw3PK76vr/y6rLY9nEyaCUE2eGoCtE9VGEoUwIWZyp9VbMIqrysyg8Aq+qVslPe7jQ==" saltValue="5t9DnctxnSToOxItQSO4pA==" spinCount="100000" sheet="1" objects="1" scenarios="1"/>
  <mergeCells count="18">
    <mergeCell ref="B71:M71"/>
    <mergeCell ref="I20:K20"/>
    <mergeCell ref="G23:H23"/>
    <mergeCell ref="G26:H26"/>
    <mergeCell ref="G27:H27"/>
    <mergeCell ref="G25:H25"/>
    <mergeCell ref="C60:F60"/>
    <mergeCell ref="C61:F61"/>
    <mergeCell ref="B29:C29"/>
    <mergeCell ref="G29:H29"/>
    <mergeCell ref="B16:M16"/>
    <mergeCell ref="B17:M17"/>
    <mergeCell ref="B4:E4"/>
    <mergeCell ref="B5:E5"/>
    <mergeCell ref="B8:E8"/>
    <mergeCell ref="B9:E9"/>
    <mergeCell ref="B12:E12"/>
    <mergeCell ref="B13:E13"/>
  </mergeCells>
  <phoneticPr fontId="0" type="noConversion"/>
  <pageMargins left="0.25" right="0.25" top="0.5" bottom="0.5" header="0.25" footer="0.25"/>
  <pageSetup paperSize="5"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84483-41B7-4245-92B4-32A556880DD4}">
  <sheetPr codeName="Sheet80"/>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+'11.18 Grants Approp Rsrv'!F27</f>
        <v>630604.05000000005</v>
      </c>
      <c r="G8" s="728">
        <f>+'11.18 Grants Approp Rsrv'!G27</f>
        <v>31118.080000000002</v>
      </c>
      <c r="H8" s="728">
        <f>+'11.18 Grants Approp Rsrv'!H27</f>
        <v>0</v>
      </c>
      <c r="I8" s="728">
        <f>+'11.18 Grants Approp Rsrv'!I27</f>
        <v>466138.86</v>
      </c>
      <c r="J8" s="728">
        <f>+'11.18 Grants Approp Rsrv'!J27</f>
        <v>0</v>
      </c>
      <c r="K8" s="728">
        <f>+'11.18 Grants Approp Rsrv'!K27</f>
        <v>0</v>
      </c>
      <c r="L8" s="729">
        <f>+'11.18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3308</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D3A6ev01xQA+eOI8ZSLa3/TYPMjX4FeZpoAhCEJUecHHKneF9vr1S2eV/qS9Xc2dkaoquQUVPMe/yrwlwhgJLg==" saltValue="loq+gm7AnACgQ/hq6YLnE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44103-475B-4D20-BDFB-4D4D069BC847}">
  <sheetPr codeName="Sheet81"/>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+'11.19 Grants Approp Rsrv'!F27</f>
        <v>630604.05000000005</v>
      </c>
      <c r="G8" s="728">
        <f>+'11.19 Grants Approp Rsrv'!G27</f>
        <v>31118.080000000002</v>
      </c>
      <c r="H8" s="728">
        <f>+'11.19 Grants Approp Rsrv'!H27</f>
        <v>0</v>
      </c>
      <c r="I8" s="728">
        <f>+'11.19 Grants Approp Rsrv'!I27</f>
        <v>466138.86</v>
      </c>
      <c r="J8" s="728">
        <f>+'11.19 Grants Approp Rsrv'!J27</f>
        <v>0</v>
      </c>
      <c r="K8" s="728">
        <f>+'11.19 Grants Approp Rsrv'!K27</f>
        <v>0</v>
      </c>
      <c r="L8" s="729">
        <f>+'11.19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3307</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PWSKrWI6LK/qxrj5lC0q4ujy9Stmuq7rNH/wSUNUs8KpyaUwTH9oJS6phYnYHXxWsN5iiJ1dTbFwgU19+WhlNA==" saltValue="12ZjPHNqkGZFGv3mSwI7e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71CFC-260A-4835-89D2-E961AA43858C}">
  <sheetPr codeName="Sheet82"/>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+'11.20 Grants Approp Rsrv'!F27</f>
        <v>630604.05000000005</v>
      </c>
      <c r="G8" s="728">
        <f>+'11.20 Grants Approp Rsrv'!G27</f>
        <v>31118.080000000002</v>
      </c>
      <c r="H8" s="728">
        <f>+'11.20 Grants Approp Rsrv'!H27</f>
        <v>0</v>
      </c>
      <c r="I8" s="728">
        <f>+'11.20 Grants Approp Rsrv'!I27</f>
        <v>466138.86</v>
      </c>
      <c r="J8" s="728">
        <f>+'11.20 Grants Approp Rsrv'!J27</f>
        <v>0</v>
      </c>
      <c r="K8" s="728">
        <f>+'11.20 Grants Approp Rsrv'!K27</f>
        <v>0</v>
      </c>
      <c r="L8" s="729">
        <f>+'11.20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3309</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RyRKCaVJxkA7B2LGQA0v6nPk4gE0dD1JyRZSWDOPkV1H8YwoCOqOJTiDGpfeNkqjR+JjAvCnWhPhnAkgNtj4eg==" saltValue="f9aknfkt5snQjLl4DQobH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A1750-1917-443B-8905-1D040759DFA3}">
  <sheetPr codeName="Sheet83"/>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+'11.21 Grants Approp Rsrv'!F27</f>
        <v>630604.05000000005</v>
      </c>
      <c r="G8" s="728">
        <f>+'11.21 Grants Approp Rsrv'!G27</f>
        <v>31118.080000000002</v>
      </c>
      <c r="H8" s="728">
        <f>+'11.21 Grants Approp Rsrv'!H27</f>
        <v>0</v>
      </c>
      <c r="I8" s="728">
        <f>+'11.21 Grants Approp Rsrv'!I27</f>
        <v>466138.86</v>
      </c>
      <c r="J8" s="728">
        <f>+'11.21 Grants Approp Rsrv'!J27</f>
        <v>0</v>
      </c>
      <c r="K8" s="728">
        <f>+'11.21 Grants Approp Rsrv'!K27</f>
        <v>0</v>
      </c>
      <c r="L8" s="729">
        <f>+'11.21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3310</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Q+laxEup2l7ytXEgE2jLahtiSF6pGpdele7KUvukJ7fv9hn2aS1iG1QcElwZ0YvAKmwPNFzreBzmEI62p9sEWQ==" saltValue="j3z+N0JLkAXpVndRegmXr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EB33C-3C37-4916-A799-87847A088E8D}">
  <sheetPr codeName="Sheet84"/>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+'11.22 Grants Approp Rsrv'!F27</f>
        <v>630604.05000000005</v>
      </c>
      <c r="G8" s="728">
        <f>+'11.22 Grants Approp Rsrv'!G27</f>
        <v>31118.080000000002</v>
      </c>
      <c r="H8" s="728">
        <f>+'11.22 Grants Approp Rsrv'!H27</f>
        <v>0</v>
      </c>
      <c r="I8" s="728">
        <f>+'11.22 Grants Approp Rsrv'!I27</f>
        <v>466138.86</v>
      </c>
      <c r="J8" s="728">
        <f>+'11.22 Grants Approp Rsrv'!J27</f>
        <v>0</v>
      </c>
      <c r="K8" s="728">
        <f>+'11.22 Grants Approp Rsrv'!K27</f>
        <v>0</v>
      </c>
      <c r="L8" s="729">
        <f>+'11.22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3311</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euWjf9ksGT4RAVsjiVhSOcE4u51rcpAKFbPGn1CYn7MYO6ksp435SGgFr/BJ1FAnmD5I4b0RUAsaZznUO4rrZg==" saltValue="l/447xGsYumZ2T7nVt85d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F65CE-FF32-421B-8221-66F6852C3046}">
  <sheetPr codeName="Sheet85"/>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+'11.23 Grants Approp Rsrv'!F27</f>
        <v>630604.05000000005</v>
      </c>
      <c r="G8" s="728">
        <f>+'11.23 Grants Approp Rsrv'!G27</f>
        <v>31118.080000000002</v>
      </c>
      <c r="H8" s="728">
        <f>+'11.23 Grants Approp Rsrv'!H27</f>
        <v>0</v>
      </c>
      <c r="I8" s="728">
        <f>+'11.23 Grants Approp Rsrv'!I27</f>
        <v>466138.86</v>
      </c>
      <c r="J8" s="728">
        <f>+'11.23 Grants Approp Rsrv'!J27</f>
        <v>0</v>
      </c>
      <c r="K8" s="728">
        <f>+'11.23 Grants Approp Rsrv'!K27</f>
        <v>0</v>
      </c>
      <c r="L8" s="729">
        <f>+'11.23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3312</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prYLLsCFROm4VpU+EQFJpVV6lh5mbYDhxhh/7fKR+rygkZFAjTVloiEpPuUj7NFcRqbHdDzS4p4XOK+bSWa3Kg==" saltValue="GhCBhzKpipZA/MoDviWptw=="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A769F-8C83-4389-A3B9-BD318CC255AD}">
  <sheetPr codeName="Sheet86"/>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+'11.24 Grants Approp Rsrv'!F27</f>
        <v>630604.05000000005</v>
      </c>
      <c r="G8" s="728">
        <f>+'11.24 Grants Approp Rsrv'!G27</f>
        <v>31118.080000000002</v>
      </c>
      <c r="H8" s="728">
        <f>+'11.24 Grants Approp Rsrv'!H27</f>
        <v>0</v>
      </c>
      <c r="I8" s="728">
        <f>+'11.24 Grants Approp Rsrv'!I27</f>
        <v>466138.86</v>
      </c>
      <c r="J8" s="728">
        <f>+'11.24 Grants Approp Rsrv'!J27</f>
        <v>0</v>
      </c>
      <c r="K8" s="728">
        <f>+'11.24 Grants Approp Rsrv'!K27</f>
        <v>0</v>
      </c>
      <c r="L8" s="729">
        <f>+'11.24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3313</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tcl3vMPvRNZb8OKp9r3BNIV/tT4GJz8iDOcyhxgjXZnVA/3iCiw+nZt0NNBPerdYiQR9DA5qt7a+BqQvymBe2A==" saltValue="9Ec5MZwinUFejz0uUW+bD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B7597-42C7-4874-98D0-F9E2F7308BB5}">
  <sheetPr codeName="Sheet87"/>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+'11.25 Grants Approp Rsrv'!F27</f>
        <v>630604.05000000005</v>
      </c>
      <c r="G8" s="728">
        <f>+'11.25 Grants Approp Rsrv'!G27</f>
        <v>31118.080000000002</v>
      </c>
      <c r="H8" s="728">
        <f>+'11.25 Grants Approp Rsrv'!H27</f>
        <v>0</v>
      </c>
      <c r="I8" s="728">
        <f>+'11.25 Grants Approp Rsrv'!I27</f>
        <v>466138.86</v>
      </c>
      <c r="J8" s="728">
        <f>+'11.25 Grants Approp Rsrv'!J27</f>
        <v>0</v>
      </c>
      <c r="K8" s="728">
        <f>+'11.25 Grants Approp Rsrv'!K27</f>
        <v>0</v>
      </c>
      <c r="L8" s="729">
        <f>+'11.25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3314</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FcFPaVhCh6Ccx4Yt4iDCkKi2c/gJA3a9YudSwPywKcOocGxLiicBQ+WaiSOnZY8ZanYP0fEIcYuys79I5333og==" saltValue="WaGzzYWGPahhpXmF0fRF5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E0E7D-E8B5-460F-BEF8-D1B5EF00197C}">
  <sheetPr codeName="Sheet88"/>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+'11.26 Grants Approp Rsrv'!F27</f>
        <v>630604.05000000005</v>
      </c>
      <c r="G8" s="728">
        <f>+'11.26 Grants Approp Rsrv'!G27</f>
        <v>31118.080000000002</v>
      </c>
      <c r="H8" s="728">
        <f>+'11.26 Grants Approp Rsrv'!H27</f>
        <v>0</v>
      </c>
      <c r="I8" s="728">
        <f>+'11.26 Grants Approp Rsrv'!I27</f>
        <v>466138.86</v>
      </c>
      <c r="J8" s="728">
        <f>+'11.26 Grants Approp Rsrv'!J27</f>
        <v>0</v>
      </c>
      <c r="K8" s="728">
        <f>+'11.26 Grants Approp Rsrv'!K27</f>
        <v>0</v>
      </c>
      <c r="L8" s="729">
        <f>+'11.26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3315</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bRwuxS6ijAC1wtUucGOb28YKrotmXph5p8brHmoSIwtys5Pg/Nc/HgLQpSM48NEHeprOuUQKDcTlwTu4rRfgUA==" saltValue="XsX15M1Dg17Lfyt0MkJKz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6F6AE-8911-4646-8BD8-632C58B2251B}">
  <sheetPr codeName="Sheet89"/>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+'11.27 Grants Approp Rsrv'!F27</f>
        <v>630604.05000000005</v>
      </c>
      <c r="G8" s="728">
        <f>+'11.27 Grants Approp Rsrv'!G27</f>
        <v>31118.080000000002</v>
      </c>
      <c r="H8" s="728">
        <f>+'11.27 Grants Approp Rsrv'!H27</f>
        <v>0</v>
      </c>
      <c r="I8" s="728">
        <f>+'11.27 Grants Approp Rsrv'!I27</f>
        <v>466138.86</v>
      </c>
      <c r="J8" s="728">
        <f>+'11.27 Grants Approp Rsrv'!J27</f>
        <v>0</v>
      </c>
      <c r="K8" s="728">
        <f>+'11.27 Grants Approp Rsrv'!K27</f>
        <v>0</v>
      </c>
      <c r="L8" s="729">
        <f>+'11.27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3316</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9PG1kVz2WvyubbrLPXgSBP7xuXKea01jAXvVtEmiCD9l8tQdaMnDXy7QxVZX9RLTFN0hcHIJmEgCiUqodgMvpg==" saltValue="PW3FhRYZDvmQKpl7jNsJRA=="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B2:P59"/>
  <sheetViews>
    <sheetView topLeftCell="A30" zoomScaleNormal="100" workbookViewId="0">
      <selection activeCell="I51" sqref="I51:L51"/>
    </sheetView>
  </sheetViews>
  <sheetFormatPr defaultRowHeight="13.2"/>
  <cols>
    <col min="1" max="1" width="7.5546875" customWidth="1"/>
    <col min="2" max="2" width="4.5546875" customWidth="1"/>
    <col min="3" max="4" width="4.6640625" customWidth="1"/>
    <col min="5" max="5" width="18.6640625" customWidth="1"/>
    <col min="6" max="6" width="8.33203125" customWidth="1"/>
    <col min="7" max="7" width="6.33203125" customWidth="1"/>
    <col min="8" max="8" width="7" customWidth="1"/>
    <col min="9" max="9" width="4.33203125" customWidth="1"/>
    <col min="10" max="10" width="12.88671875" customWidth="1"/>
    <col min="13" max="13" width="7" customWidth="1"/>
  </cols>
  <sheetData>
    <row r="2" spans="2:16" ht="22.8">
      <c r="B2" s="1176" t="s">
        <v>613</v>
      </c>
      <c r="C2" s="1176"/>
      <c r="D2" s="1176"/>
      <c r="E2" s="1176"/>
      <c r="F2" s="1176"/>
      <c r="G2" s="1176"/>
      <c r="H2" s="1176"/>
      <c r="I2" s="1176"/>
      <c r="J2" s="1176"/>
      <c r="K2" s="1176"/>
      <c r="L2" s="1176"/>
      <c r="M2" s="1176"/>
    </row>
    <row r="4" spans="2:16" ht="20.399999999999999">
      <c r="B4" s="1131" t="s">
        <v>614</v>
      </c>
      <c r="C4" s="1131"/>
      <c r="D4" s="1131"/>
      <c r="E4" s="1131"/>
      <c r="F4" s="1131"/>
      <c r="G4" s="1131"/>
      <c r="H4" s="1131"/>
      <c r="I4" s="1131"/>
      <c r="J4" s="1131"/>
      <c r="K4" s="1131"/>
      <c r="L4" s="1131"/>
      <c r="M4" s="1131"/>
    </row>
    <row r="7" spans="2:16" ht="17.399999999999999">
      <c r="B7" s="113" t="s">
        <v>615</v>
      </c>
    </row>
    <row r="9" spans="2:16" ht="21" customHeight="1">
      <c r="C9" s="89" t="s">
        <v>616</v>
      </c>
    </row>
    <row r="10" spans="2:16" ht="21" customHeight="1">
      <c r="B10" s="89" t="s">
        <v>159</v>
      </c>
    </row>
    <row r="13" spans="2:16" ht="21" customHeight="1">
      <c r="B13" s="89"/>
      <c r="C13" s="89" t="s">
        <v>303</v>
      </c>
    </row>
    <row r="14" spans="2:16" ht="21" customHeight="1">
      <c r="B14" s="89" t="s">
        <v>304</v>
      </c>
      <c r="C14" s="89"/>
      <c r="P14" s="294"/>
    </row>
    <row r="15" spans="2:16" ht="21" customHeight="1">
      <c r="B15" s="89" t="s">
        <v>305</v>
      </c>
      <c r="C15" s="89"/>
    </row>
    <row r="17" spans="2:13" ht="17.399999999999999">
      <c r="B17" s="113" t="s">
        <v>306</v>
      </c>
    </row>
    <row r="19" spans="2:13" ht="21" customHeight="1">
      <c r="C19" t="s">
        <v>307</v>
      </c>
    </row>
    <row r="20" spans="2:13" ht="21" customHeight="1">
      <c r="B20" t="s">
        <v>86</v>
      </c>
      <c r="F20" s="1150" t="str">
        <f>+'KEY INPUTS'!D12</f>
        <v>BOROUGH</v>
      </c>
      <c r="G20" s="1150"/>
      <c r="H20" s="1150"/>
      <c r="I20" t="s">
        <v>540</v>
      </c>
      <c r="J20" s="1150" t="str">
        <f>+'KEY INPUTS'!D11</f>
        <v>MILFORD</v>
      </c>
      <c r="K20" s="1150"/>
      <c r="L20" s="1150"/>
      <c r="M20" t="s">
        <v>309</v>
      </c>
    </row>
    <row r="21" spans="2:13" ht="21" customHeight="1">
      <c r="B21" t="s">
        <v>308</v>
      </c>
      <c r="D21" s="1150" t="str">
        <f>+'KEY INPUTS'!D10</f>
        <v>HUNTERDON</v>
      </c>
      <c r="E21" s="1150"/>
      <c r="F21" t="str">
        <f>"during the "&amp;IF('KEY INPUTS'!C42 =  "State Fiscal Year", "Fiscal Year "&amp;'KEY INPUTS'!D33&amp;"","year "&amp;'KEY INPUTS'!D34&amp;"")&amp;" and that sheets 40 to 68 are unnecessary."</f>
        <v>during the year 2024 and that sheets 40 to 68 are unnecessary.</v>
      </c>
    </row>
    <row r="22" spans="2:13" ht="13.5" customHeight="1"/>
    <row r="23" spans="2:13" ht="21" customHeight="1">
      <c r="C23" t="s">
        <v>310</v>
      </c>
    </row>
    <row r="25" spans="2:13" ht="21" customHeight="1">
      <c r="H25" t="s">
        <v>311</v>
      </c>
      <c r="I25" s="1164"/>
      <c r="J25" s="1164"/>
      <c r="K25" s="1164"/>
      <c r="L25" s="1164"/>
    </row>
    <row r="26" spans="2:13" ht="21" customHeight="1">
      <c r="H26" t="s">
        <v>312</v>
      </c>
      <c r="I26" s="1164"/>
      <c r="J26" s="1164"/>
      <c r="K26" s="1164"/>
      <c r="L26" s="1164"/>
    </row>
    <row r="28" spans="2:13" ht="21" customHeight="1">
      <c r="C28" t="s">
        <v>3608</v>
      </c>
    </row>
    <row r="29" spans="2:13" ht="21" customHeight="1">
      <c r="B29" t="s">
        <v>3609</v>
      </c>
    </row>
    <row r="34" spans="2:13" ht="21" customHeight="1"/>
    <row r="35" spans="2:13" ht="21" customHeight="1"/>
    <row r="38" spans="2:13" ht="4.5" customHeight="1">
      <c r="B38" s="30"/>
      <c r="C38" s="30"/>
      <c r="D38" s="30"/>
      <c r="E38" s="30"/>
      <c r="F38" s="30"/>
      <c r="G38" s="30"/>
      <c r="H38" s="30"/>
      <c r="I38" s="30"/>
      <c r="J38" s="30"/>
      <c r="K38" s="30"/>
      <c r="L38" s="30"/>
      <c r="M38" s="30"/>
    </row>
    <row r="39" spans="2:13" ht="3" customHeight="1" thickBot="1">
      <c r="B39" s="28"/>
      <c r="C39" s="28"/>
      <c r="D39" s="28"/>
      <c r="E39" s="28"/>
      <c r="F39" s="28"/>
      <c r="G39" s="28"/>
      <c r="H39" s="28"/>
      <c r="I39" s="28"/>
      <c r="J39" s="28"/>
      <c r="K39" s="28"/>
      <c r="L39" s="28"/>
      <c r="M39" s="28"/>
    </row>
    <row r="40" spans="2:13" ht="3" customHeight="1" thickTop="1">
      <c r="B40" s="30"/>
      <c r="C40" s="30"/>
      <c r="D40" s="30"/>
      <c r="E40" s="30"/>
      <c r="F40" s="30"/>
      <c r="G40" s="30"/>
      <c r="H40" s="30"/>
      <c r="I40" s="30"/>
      <c r="J40" s="30"/>
      <c r="K40" s="30"/>
      <c r="L40" s="30"/>
      <c r="M40" s="30"/>
    </row>
    <row r="43" spans="2:13" ht="13.8">
      <c r="B43" s="1177" t="str">
        <f>"MUNICIPAL  CERTIFICATION  OF  TAXABLE  PROPERTY  AS  OF  OCTOBER  1,  "&amp;TEXT('KEY INPUTS'!D34,"0")</f>
        <v>MUNICIPAL  CERTIFICATION  OF  TAXABLE  PROPERTY  AS  OF  OCTOBER  1,  2024</v>
      </c>
      <c r="C43" s="1177"/>
      <c r="D43" s="1177"/>
      <c r="E43" s="1177"/>
      <c r="F43" s="1177"/>
      <c r="G43" s="1177"/>
      <c r="H43" s="1177"/>
      <c r="I43" s="1177"/>
      <c r="J43" s="1177"/>
      <c r="K43" s="1177"/>
      <c r="L43" s="1177"/>
      <c r="M43" s="1177"/>
    </row>
    <row r="45" spans="2:13" ht="21" customHeight="1">
      <c r="D45" t="s">
        <v>340</v>
      </c>
    </row>
    <row r="46" spans="2:13" ht="21" customHeight="1">
      <c r="C46" t="str">
        <f>"the tax year "&amp;TEXT('KEY INPUTS'!D33,"0")&amp;" and filed with the County Board of Taxation on January 10, "&amp;TEXT('KEY INPUTS'!D33,"0")&amp;" in accordance"</f>
        <v>the tax year 2025 and filed with the County Board of Taxation on January 10, 2025 in accordance</v>
      </c>
    </row>
    <row r="47" spans="2:13" ht="21" customHeight="1">
      <c r="C47" t="s">
        <v>3559</v>
      </c>
      <c r="J47" s="1178">
        <v>114735737</v>
      </c>
      <c r="K47" s="1178"/>
      <c r="L47" s="1178"/>
    </row>
    <row r="50" spans="2:13">
      <c r="I50" s="1166" t="s">
        <v>3812</v>
      </c>
      <c r="J50" s="1164"/>
      <c r="K50" s="1164"/>
      <c r="L50" s="1164"/>
    </row>
    <row r="51" spans="2:13">
      <c r="I51" s="1171" t="s">
        <v>341</v>
      </c>
      <c r="J51" s="1171"/>
      <c r="K51" s="1171"/>
      <c r="L51" s="1171"/>
    </row>
    <row r="53" spans="2:13">
      <c r="I53" s="1150" t="str">
        <f>+'KEY INPUTS'!D9</f>
        <v>BOROUGH OF MILFORD</v>
      </c>
      <c r="J53" s="1150"/>
      <c r="K53" s="1150"/>
      <c r="L53" s="1150"/>
    </row>
    <row r="54" spans="2:13">
      <c r="I54" s="1171" t="s">
        <v>342</v>
      </c>
      <c r="J54" s="1171"/>
      <c r="K54" s="1171"/>
      <c r="L54" s="1171"/>
    </row>
    <row r="56" spans="2:13">
      <c r="I56" s="1150" t="str">
        <f>+'KEY INPUTS'!D10</f>
        <v>HUNTERDON</v>
      </c>
      <c r="J56" s="1150"/>
      <c r="K56" s="1150"/>
      <c r="L56" s="1150"/>
    </row>
    <row r="57" spans="2:13">
      <c r="I57" s="1171" t="s">
        <v>343</v>
      </c>
      <c r="J57" s="1171"/>
      <c r="K57" s="1171"/>
      <c r="L57" s="1171"/>
    </row>
    <row r="58" spans="2:13">
      <c r="I58" s="1"/>
      <c r="J58" s="1"/>
      <c r="K58" s="1"/>
      <c r="L58" s="1"/>
    </row>
    <row r="59" spans="2:13" ht="13.8">
      <c r="B59" s="1130" t="s">
        <v>344</v>
      </c>
      <c r="C59" s="1130"/>
      <c r="D59" s="1130"/>
      <c r="E59" s="1130"/>
      <c r="F59" s="1130"/>
      <c r="G59" s="1130"/>
      <c r="H59" s="1130"/>
      <c r="I59" s="1130"/>
      <c r="J59" s="1130"/>
      <c r="K59" s="1130"/>
      <c r="L59" s="1130"/>
      <c r="M59" s="1130"/>
    </row>
  </sheetData>
  <sheetProtection algorithmName="SHA-512" hashValue="twbQdONDeSNUTQ1CcYGUOWO8IuCsD0d7mRCGmGTtC1WnGLrpN12HibCxmcMQJbuN/J8ksgK7YlS/ksbOgRve7A==" saltValue="eQ1ofIAVgcOTIKtQdLa9rw==" spinCount="100000" sheet="1" objects="1" scenarios="1"/>
  <mergeCells count="16">
    <mergeCell ref="B2:M2"/>
    <mergeCell ref="B4:M4"/>
    <mergeCell ref="B43:M43"/>
    <mergeCell ref="J20:L20"/>
    <mergeCell ref="I51:L51"/>
    <mergeCell ref="D21:E21"/>
    <mergeCell ref="J47:L47"/>
    <mergeCell ref="F20:H20"/>
    <mergeCell ref="I25:L25"/>
    <mergeCell ref="I26:L26"/>
    <mergeCell ref="I50:L50"/>
    <mergeCell ref="B59:M59"/>
    <mergeCell ref="I54:L54"/>
    <mergeCell ref="I56:L56"/>
    <mergeCell ref="I53:L53"/>
    <mergeCell ref="I57:L57"/>
  </mergeCells>
  <phoneticPr fontId="0" type="noConversion"/>
  <pageMargins left="0.25" right="0.25" top="0.5" bottom="0.5" header="0.25" footer="0.25"/>
  <pageSetup paperSize="5" scale="9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01A2-9DBA-4A15-8DE8-1ED748FE64D8}">
  <sheetPr codeName="Sheet90"/>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+'11.28 Grants Approp Rsrv'!F27</f>
        <v>630604.05000000005</v>
      </c>
      <c r="G8" s="728">
        <f>+'11.28 Grants Approp Rsrv'!G27</f>
        <v>31118.080000000002</v>
      </c>
      <c r="H8" s="728">
        <f>+'11.28 Grants Approp Rsrv'!H27</f>
        <v>0</v>
      </c>
      <c r="I8" s="728">
        <f>+'11.28 Grants Approp Rsrv'!I27</f>
        <v>466138.86</v>
      </c>
      <c r="J8" s="728">
        <f>+'11.28 Grants Approp Rsrv'!J27</f>
        <v>0</v>
      </c>
      <c r="K8" s="728">
        <f>+'11.28 Grants Approp Rsrv'!K27</f>
        <v>0</v>
      </c>
      <c r="L8" s="729">
        <f>+'11.28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3317</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2/sxol84iEc4J3vgcGKmia124mU5DWUzykRr/LSIvbdGtKLwE+4Ww2lVHkpfTvzt/9m9Kw7Rd59genAdMXkRsw==" saltValue="6gEYFOw9jDYLZ7VuY0hnSA=="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8574D-F0B3-4356-A6F9-A51689BDC576}">
  <sheetPr codeName="Sheet91"/>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+'11.29 Grants Approp Rsrv'!F27</f>
        <v>630604.05000000005</v>
      </c>
      <c r="G8" s="728">
        <f>+'11.29 Grants Approp Rsrv'!G27</f>
        <v>31118.080000000002</v>
      </c>
      <c r="H8" s="728">
        <f>+'11.29 Grants Approp Rsrv'!H27</f>
        <v>0</v>
      </c>
      <c r="I8" s="728">
        <f>+'11.29 Grants Approp Rsrv'!I27</f>
        <v>466138.86</v>
      </c>
      <c r="J8" s="728">
        <f>+'11.29 Grants Approp Rsrv'!J27</f>
        <v>0</v>
      </c>
      <c r="K8" s="728">
        <f>+'11.29 Grants Approp Rsrv'!K27</f>
        <v>0</v>
      </c>
      <c r="L8" s="729">
        <f>+'11.29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3318</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01UZ+TgCIdBWfu955EcBy/iT5ZrxAtV0byDiT07ENC9xo4F2PXksZSxt0XCenBxbh2cA7GbANCbdpwy03TvWng==" saltValue="du57lzHtffcHrF06WEJXI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2D80A-68D7-4C1F-BA92-8B324F9DFC76}">
  <sheetPr codeName="Sheet92"/>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+'11.30 Grants Approp Rsrv'!F27</f>
        <v>630604.05000000005</v>
      </c>
      <c r="G8" s="728">
        <f>+'11.30 Grants Approp Rsrv'!G27</f>
        <v>31118.080000000002</v>
      </c>
      <c r="H8" s="728">
        <f>+'11.30 Grants Approp Rsrv'!H27</f>
        <v>0</v>
      </c>
      <c r="I8" s="728">
        <f>+'11.30 Grants Approp Rsrv'!I27</f>
        <v>466138.86</v>
      </c>
      <c r="J8" s="728">
        <f>+'11.30 Grants Approp Rsrv'!J27</f>
        <v>0</v>
      </c>
      <c r="K8" s="728">
        <f>+'11.30 Grants Approp Rsrv'!K27</f>
        <v>0</v>
      </c>
      <c r="L8" s="729">
        <f>+'11.30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3319</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WTW0KPAoeO13IrZHngCSjQcCA4mVdKklEkadm1Fm8G6qh8f10Sx1q3X3Mpt1t86Ekt1olU2gjN/tTU5bVG1iQg==" saltValue="VBvphN1MU+ZgodNpQJVLrA=="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9870-3326-477D-B149-261DC67C79AE}">
  <sheetPr codeName="Sheet93"/>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+'11.31 Grants Approp Rsrv'!F27</f>
        <v>630604.05000000005</v>
      </c>
      <c r="G8" s="728">
        <f>+'11.31 Grants Approp Rsrv'!G27</f>
        <v>31118.080000000002</v>
      </c>
      <c r="H8" s="728">
        <f>+'11.31 Grants Approp Rsrv'!H27</f>
        <v>0</v>
      </c>
      <c r="I8" s="728">
        <f>+'11.31 Grants Approp Rsrv'!I27</f>
        <v>466138.86</v>
      </c>
      <c r="J8" s="728">
        <f>+'11.31 Grants Approp Rsrv'!J27</f>
        <v>0</v>
      </c>
      <c r="K8" s="728">
        <f>+'11.31 Grants Approp Rsrv'!K27</f>
        <v>0</v>
      </c>
      <c r="L8" s="729">
        <f>+'11.31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3320</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ErXVy8u9YC/d0iUYMuzQQZI3YlPgAOtKDEedE4+vhyuKoXcPQrG6TjbSblb1ZAaN4irZWqOxOb9dBtoF1k0G/w==" saltValue="l5ZVqEwHzMdWdY6SXFfll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4F5CA-0EDA-401B-B064-7244942F9064}">
  <sheetPr codeName="Sheet94"/>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+'11.32 Grants Approp Rsrv'!F27</f>
        <v>630604.05000000005</v>
      </c>
      <c r="G8" s="728">
        <f>+'11.32 Grants Approp Rsrv'!G27</f>
        <v>31118.080000000002</v>
      </c>
      <c r="H8" s="728">
        <f>+'11.32 Grants Approp Rsrv'!H27</f>
        <v>0</v>
      </c>
      <c r="I8" s="728">
        <f>+'11.32 Grants Approp Rsrv'!I27</f>
        <v>466138.86</v>
      </c>
      <c r="J8" s="728">
        <f>+'11.32 Grants Approp Rsrv'!J27</f>
        <v>0</v>
      </c>
      <c r="K8" s="728">
        <f>+'11.32 Grants Approp Rsrv'!K27</f>
        <v>0</v>
      </c>
      <c r="L8" s="729">
        <f>+'11.32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3321</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zI3xgLOTc+3m0gnDRrcpZSxuWxf/Cc7CZLf5+VSpaKPzAT9MQLsJM7FUm0/7p7fDT495mqe13uYcuj6cblWrig==" saltValue="LgiY27UQRBnK4fNNr0JYU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57EF7-AB00-44B7-A3FF-92F04659EC6F}">
  <sheetPr codeName="Sheet95"/>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+'11.33 Grants Approp Rsrv'!F27</f>
        <v>630604.05000000005</v>
      </c>
      <c r="G8" s="728">
        <f>+'11.33 Grants Approp Rsrv'!G27</f>
        <v>31118.080000000002</v>
      </c>
      <c r="H8" s="728">
        <f>+'11.33 Grants Approp Rsrv'!H27</f>
        <v>0</v>
      </c>
      <c r="I8" s="728">
        <f>+'11.33 Grants Approp Rsrv'!I27</f>
        <v>466138.86</v>
      </c>
      <c r="J8" s="728">
        <f>+'11.33 Grants Approp Rsrv'!J27</f>
        <v>0</v>
      </c>
      <c r="K8" s="728">
        <f>+'11.33 Grants Approp Rsrv'!K27</f>
        <v>0</v>
      </c>
      <c r="L8" s="729">
        <f>+'11.33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3322</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KBe2RA/zQtzNi5bBuyB6AW6A7vElNR3Ob93+npBfZrEIzJRRwjero9+3E7ZJJyWO7JJMpcJS7e7hGoKxlHFyRQ==" saltValue="RBIdUfe8t3iWxUq51sNp6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33B7E-2CCB-4A0D-B169-20659E882399}">
  <sheetPr codeName="Sheet96"/>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+'11.34 Grants Approp Rsrv'!F27</f>
        <v>630604.05000000005</v>
      </c>
      <c r="G8" s="728">
        <f>+'11.34 Grants Approp Rsrv'!G27</f>
        <v>31118.080000000002</v>
      </c>
      <c r="H8" s="728">
        <f>+'11.34 Grants Approp Rsrv'!H27</f>
        <v>0</v>
      </c>
      <c r="I8" s="728">
        <f>+'11.34 Grants Approp Rsrv'!I27</f>
        <v>466138.86</v>
      </c>
      <c r="J8" s="728">
        <f>+'11.34 Grants Approp Rsrv'!J27</f>
        <v>0</v>
      </c>
      <c r="K8" s="728">
        <f>+'11.34 Grants Approp Rsrv'!K27</f>
        <v>0</v>
      </c>
      <c r="L8" s="729">
        <f>+'11.34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3323</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vIS0lNIqP9IUXebvZqPctYfImisjyWCBlIecEwgkAM9uhK/9jfjbhm5AStTDWdq2Zj3cuq/eS5g9+Ngfz3jcLA==" saltValue="Eo1FWsPooZzy/LIu5/G8b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215B-5ECF-4BBE-B823-74BD7FF8CFD5}">
  <sheetPr codeName="Sheet97"/>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+'11.35 Grants Approp Rsrv'!F27</f>
        <v>630604.05000000005</v>
      </c>
      <c r="G8" s="728">
        <f>+'11.35 Grants Approp Rsrv'!G27</f>
        <v>31118.080000000002</v>
      </c>
      <c r="H8" s="728">
        <f>+'11.35 Grants Approp Rsrv'!H27</f>
        <v>0</v>
      </c>
      <c r="I8" s="728">
        <f>+'11.35 Grants Approp Rsrv'!I27</f>
        <v>466138.86</v>
      </c>
      <c r="J8" s="728">
        <f>+'11.35 Grants Approp Rsrv'!J27</f>
        <v>0</v>
      </c>
      <c r="K8" s="728">
        <f>+'11.35 Grants Approp Rsrv'!K27</f>
        <v>0</v>
      </c>
      <c r="L8" s="729">
        <f>+'11.35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3324</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fpVOv8KE2nsmDfuTJis0t6Z8tNZeaS59/YnjigEq7QvrfDYj62fyb7+oSif32adnMkJrIp/EsrOAOEkyxOe/7g==" saltValue="hjZWwltVuxVUgwIdST7Ig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E7BDF-87F2-484B-99D5-49137CED78CB}">
  <sheetPr codeName="Sheet98"/>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+'11.36 Grants Approp Rsrv'!F27</f>
        <v>630604.05000000005</v>
      </c>
      <c r="G8" s="728">
        <f>+'11.36 Grants Approp Rsrv'!G27</f>
        <v>31118.080000000002</v>
      </c>
      <c r="H8" s="728">
        <f>+'11.36 Grants Approp Rsrv'!H27</f>
        <v>0</v>
      </c>
      <c r="I8" s="728">
        <f>+'11.36 Grants Approp Rsrv'!I27</f>
        <v>466138.86</v>
      </c>
      <c r="J8" s="728">
        <f>+'11.36 Grants Approp Rsrv'!J27</f>
        <v>0</v>
      </c>
      <c r="K8" s="728">
        <f>+'11.36 Grants Approp Rsrv'!K27</f>
        <v>0</v>
      </c>
      <c r="L8" s="729">
        <f>+'11.36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3325</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PPW41/OuW5udrs3hmSRaVnZwuhJdMuOB7ZVbt7hy2yySJjYpwakznZjJ1BDUT9/qmueQm9CPn0jAFm4JTmYLgA==" saltValue="cv60JcKf7xT5UuyU1POJ3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A21CC-6B7F-4D66-B087-2DF5CC06BBA8}">
  <sheetPr codeName="Sheet99"/>
  <dimension ref="A2:O34"/>
  <sheetViews>
    <sheetView zoomScaleNormal="100" workbookViewId="0">
      <selection activeCell="G4" sqref="G4:H4"/>
    </sheetView>
  </sheetViews>
  <sheetFormatPr defaultColWidth="9.109375"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customWidth="1"/>
    <col min="13" max="13" width="10.88671875" bestFit="1" customWidth="1"/>
  </cols>
  <sheetData>
    <row r="2" spans="1:15" ht="20.399999999999999">
      <c r="B2" s="1131" t="s">
        <v>236</v>
      </c>
      <c r="C2" s="1131"/>
      <c r="D2" s="1131"/>
      <c r="E2" s="1131"/>
      <c r="F2" s="1131"/>
      <c r="G2" s="1131"/>
      <c r="H2" s="1131"/>
      <c r="I2" s="1131"/>
      <c r="J2" s="1131"/>
      <c r="K2" s="1131"/>
      <c r="L2" s="1131"/>
    </row>
    <row r="3" spans="1:15" ht="21" thickBot="1">
      <c r="B3" s="1131" t="s">
        <v>106</v>
      </c>
      <c r="C3" s="1131"/>
      <c r="D3" s="1131"/>
      <c r="E3" s="1131"/>
      <c r="F3" s="1131"/>
      <c r="G3" s="1131"/>
      <c r="H3" s="1131"/>
      <c r="I3" s="1131"/>
      <c r="J3" s="1131"/>
      <c r="K3" s="1131"/>
      <c r="L3" s="1131"/>
    </row>
    <row r="4" spans="1:15" ht="13.8" thickTop="1">
      <c r="B4" s="11"/>
      <c r="C4" s="11"/>
      <c r="D4" s="11"/>
      <c r="E4" s="11"/>
      <c r="F4" s="12"/>
      <c r="G4" s="1216" t="str">
        <f>IF('KEY INPUTS'!C42="State Fiscal Year","Transferred from Fiscal Year "&amp;'KEY INPUTS'!D33&amp;"","Transferred from "&amp;'KEY INPUTS'!D34&amp;"")</f>
        <v>Transferred from 2024</v>
      </c>
      <c r="H4" s="1217"/>
      <c r="I4" s="12"/>
      <c r="J4" s="6"/>
      <c r="K4" s="11"/>
      <c r="L4" s="18"/>
    </row>
    <row r="5" spans="1:15">
      <c r="B5" s="1174" t="s">
        <v>638</v>
      </c>
      <c r="C5" s="1174"/>
      <c r="D5" s="1174"/>
      <c r="E5" s="1214"/>
      <c r="F5" s="13" t="s">
        <v>529</v>
      </c>
      <c r="G5" s="1218" t="s">
        <v>234</v>
      </c>
      <c r="H5" s="1219"/>
      <c r="I5" s="13" t="s">
        <v>235</v>
      </c>
      <c r="J5" s="597" t="s">
        <v>218</v>
      </c>
      <c r="K5" s="1" t="s">
        <v>445</v>
      </c>
      <c r="L5" s="21" t="s">
        <v>529</v>
      </c>
    </row>
    <row r="6" spans="1:15">
      <c r="F6" s="245" t="str">
        <f>'11 Grants Approp Rsrv'!F6</f>
        <v>Jan. 1, 2024</v>
      </c>
      <c r="G6" s="13" t="s">
        <v>534</v>
      </c>
      <c r="H6" s="13" t="s">
        <v>232</v>
      </c>
      <c r="I6" s="13"/>
      <c r="J6" s="13"/>
      <c r="K6" s="20"/>
      <c r="L6" s="244" t="str">
        <f>'11 Grants Approp Rsrv'!L6</f>
        <v>Dec. 31, 2024</v>
      </c>
    </row>
    <row r="7" spans="1:15" ht="13.8" thickBot="1">
      <c r="B7" s="10"/>
      <c r="C7" s="10"/>
      <c r="D7" s="10"/>
      <c r="E7" s="10"/>
      <c r="F7" s="14"/>
      <c r="G7" s="16"/>
      <c r="H7" s="16" t="s">
        <v>233</v>
      </c>
      <c r="I7" s="14"/>
      <c r="J7" s="16"/>
      <c r="K7" s="17"/>
      <c r="L7" s="19"/>
    </row>
    <row r="8" spans="1:15" ht="21" customHeight="1" thickTop="1">
      <c r="B8" s="726" t="s">
        <v>3263</v>
      </c>
      <c r="C8" s="263"/>
      <c r="D8" s="263"/>
      <c r="E8" s="727"/>
      <c r="F8" s="728">
        <f>+'11.37 Grants Approp Rsrv'!F27</f>
        <v>630604.05000000005</v>
      </c>
      <c r="G8" s="728">
        <f>+'11.37 Grants Approp Rsrv'!G27</f>
        <v>31118.080000000002</v>
      </c>
      <c r="H8" s="728">
        <f>+'11.37 Grants Approp Rsrv'!H27</f>
        <v>0</v>
      </c>
      <c r="I8" s="728">
        <f>+'11.37 Grants Approp Rsrv'!I27</f>
        <v>466138.86</v>
      </c>
      <c r="J8" s="728">
        <f>+'11.37 Grants Approp Rsrv'!J27</f>
        <v>0</v>
      </c>
      <c r="K8" s="728">
        <f>+'11.37 Grants Approp Rsrv'!K27</f>
        <v>0</v>
      </c>
      <c r="L8" s="729">
        <f>+'11.37 Grants Approp Rsrv'!L27</f>
        <v>195583.27000000002</v>
      </c>
      <c r="M8" s="550"/>
    </row>
    <row r="9" spans="1:15" ht="21" customHeight="1">
      <c r="B9" s="997"/>
      <c r="C9" s="997"/>
      <c r="D9" s="997"/>
      <c r="E9" s="998"/>
      <c r="F9" s="426"/>
      <c r="G9" s="426"/>
      <c r="H9" s="426"/>
      <c r="I9" s="426"/>
      <c r="J9" s="426"/>
      <c r="K9" s="426"/>
      <c r="L9" s="261">
        <f t="shared" ref="L9:L26" si="0">+F9+G9+H9-I9+J9-K9</f>
        <v>0</v>
      </c>
      <c r="M9" s="552"/>
    </row>
    <row r="10" spans="1:15" ht="21" customHeight="1">
      <c r="B10" s="997"/>
      <c r="C10" s="997"/>
      <c r="D10" s="997"/>
      <c r="E10" s="998"/>
      <c r="F10" s="426"/>
      <c r="G10" s="426"/>
      <c r="H10" s="426"/>
      <c r="I10" s="426"/>
      <c r="J10" s="426"/>
      <c r="K10" s="426"/>
      <c r="L10" s="261">
        <f t="shared" si="0"/>
        <v>0</v>
      </c>
      <c r="M10" s="204"/>
    </row>
    <row r="11" spans="1:15" ht="21" customHeight="1">
      <c r="B11" s="997"/>
      <c r="C11" s="997"/>
      <c r="D11" s="997"/>
      <c r="E11" s="998"/>
      <c r="F11" s="426"/>
      <c r="G11" s="426"/>
      <c r="H11" s="426"/>
      <c r="I11" s="426"/>
      <c r="J11" s="426"/>
      <c r="K11" s="426"/>
      <c r="L11" s="261">
        <f t="shared" si="0"/>
        <v>0</v>
      </c>
      <c r="M11" s="204"/>
      <c r="O11" s="294"/>
    </row>
    <row r="12" spans="1:15" ht="21" customHeight="1">
      <c r="B12" s="997"/>
      <c r="C12" s="997"/>
      <c r="D12" s="997"/>
      <c r="E12" s="998"/>
      <c r="F12" s="426"/>
      <c r="G12" s="426"/>
      <c r="H12" s="426"/>
      <c r="I12" s="426"/>
      <c r="J12" s="426"/>
      <c r="K12" s="426"/>
      <c r="L12" s="261">
        <f t="shared" si="0"/>
        <v>0</v>
      </c>
      <c r="M12" s="204"/>
    </row>
    <row r="13" spans="1:15" ht="21" customHeight="1">
      <c r="B13" s="997"/>
      <c r="C13" s="997"/>
      <c r="D13" s="997"/>
      <c r="E13" s="998"/>
      <c r="F13" s="426"/>
      <c r="G13" s="426"/>
      <c r="H13" s="426"/>
      <c r="I13" s="426"/>
      <c r="J13" s="426"/>
      <c r="K13" s="426"/>
      <c r="L13" s="261">
        <f t="shared" si="0"/>
        <v>0</v>
      </c>
      <c r="M13" s="204"/>
    </row>
    <row r="14" spans="1:15" ht="21" customHeight="1">
      <c r="B14" s="997"/>
      <c r="C14" s="997"/>
      <c r="D14" s="997"/>
      <c r="E14" s="998"/>
      <c r="F14" s="426"/>
      <c r="G14" s="426"/>
      <c r="H14" s="426"/>
      <c r="I14" s="426"/>
      <c r="J14" s="426"/>
      <c r="K14" s="426"/>
      <c r="L14" s="261">
        <f t="shared" si="0"/>
        <v>0</v>
      </c>
      <c r="M14" s="204"/>
    </row>
    <row r="15" spans="1:15" ht="21" customHeight="1">
      <c r="A15" s="1195" t="s">
        <v>3326</v>
      </c>
      <c r="B15" s="997"/>
      <c r="C15" s="997"/>
      <c r="D15" s="997"/>
      <c r="E15" s="998"/>
      <c r="F15" s="426"/>
      <c r="G15" s="426"/>
      <c r="H15" s="426"/>
      <c r="I15" s="426"/>
      <c r="J15" s="426"/>
      <c r="K15" s="426"/>
      <c r="L15" s="261">
        <f t="shared" si="0"/>
        <v>0</v>
      </c>
      <c r="M15" s="204"/>
    </row>
    <row r="16" spans="1:15" ht="21" customHeight="1">
      <c r="A16" s="1195"/>
      <c r="B16" s="997"/>
      <c r="C16" s="997"/>
      <c r="D16" s="997"/>
      <c r="E16" s="998"/>
      <c r="F16" s="426"/>
      <c r="G16" s="426"/>
      <c r="H16" s="426"/>
      <c r="I16" s="426"/>
      <c r="J16" s="426"/>
      <c r="K16" s="426"/>
      <c r="L16" s="261">
        <f t="shared" si="0"/>
        <v>0</v>
      </c>
      <c r="M16" s="204"/>
    </row>
    <row r="17" spans="1:13" ht="21" customHeight="1">
      <c r="B17" s="997"/>
      <c r="C17" s="997"/>
      <c r="D17" s="997"/>
      <c r="E17" s="998"/>
      <c r="F17" s="426"/>
      <c r="G17" s="426"/>
      <c r="H17" s="426"/>
      <c r="I17" s="426"/>
      <c r="J17" s="426"/>
      <c r="K17" s="426"/>
      <c r="L17" s="261">
        <f t="shared" si="0"/>
        <v>0</v>
      </c>
      <c r="M17" s="204"/>
    </row>
    <row r="18" spans="1:13" ht="21" customHeight="1">
      <c r="A18" s="265"/>
      <c r="B18" s="997"/>
      <c r="C18" s="997"/>
      <c r="D18" s="997"/>
      <c r="E18" s="998"/>
      <c r="F18" s="426"/>
      <c r="G18" s="426"/>
      <c r="H18" s="426"/>
      <c r="I18" s="426"/>
      <c r="J18" s="426"/>
      <c r="K18" s="426"/>
      <c r="L18" s="261">
        <f t="shared" si="0"/>
        <v>0</v>
      </c>
      <c r="M18" s="204"/>
    </row>
    <row r="19" spans="1:13" ht="21" customHeight="1">
      <c r="A19" s="265"/>
      <c r="B19" s="997"/>
      <c r="C19" s="997"/>
      <c r="D19" s="997"/>
      <c r="E19" s="998"/>
      <c r="F19" s="426"/>
      <c r="G19" s="426"/>
      <c r="H19" s="426"/>
      <c r="I19" s="426"/>
      <c r="J19" s="426"/>
      <c r="K19" s="426"/>
      <c r="L19" s="261">
        <f t="shared" si="0"/>
        <v>0</v>
      </c>
      <c r="M19" s="204"/>
    </row>
    <row r="20" spans="1:13" ht="21" customHeight="1">
      <c r="B20" s="997"/>
      <c r="C20" s="997"/>
      <c r="D20" s="997"/>
      <c r="E20" s="998"/>
      <c r="F20" s="426"/>
      <c r="G20" s="426"/>
      <c r="H20" s="426"/>
      <c r="I20" s="426"/>
      <c r="J20" s="426"/>
      <c r="K20" s="426"/>
      <c r="L20" s="261">
        <f t="shared" si="0"/>
        <v>0</v>
      </c>
      <c r="M20" s="204"/>
    </row>
    <row r="21" spans="1:13" ht="21" customHeight="1">
      <c r="B21" s="997"/>
      <c r="C21" s="997"/>
      <c r="D21" s="997"/>
      <c r="E21" s="998"/>
      <c r="F21" s="426"/>
      <c r="G21" s="426"/>
      <c r="H21" s="426"/>
      <c r="I21" s="426"/>
      <c r="J21" s="426"/>
      <c r="K21" s="426"/>
      <c r="L21" s="261">
        <f t="shared" si="0"/>
        <v>0</v>
      </c>
      <c r="M21" s="204"/>
    </row>
    <row r="22" spans="1:13" ht="21" customHeight="1">
      <c r="B22" s="997"/>
      <c r="C22" s="997"/>
      <c r="D22" s="997"/>
      <c r="E22" s="998"/>
      <c r="F22" s="426"/>
      <c r="G22" s="426"/>
      <c r="H22" s="426"/>
      <c r="I22" s="426"/>
      <c r="J22" s="426"/>
      <c r="K22" s="426"/>
      <c r="L22" s="261">
        <f t="shared" si="0"/>
        <v>0</v>
      </c>
      <c r="M22" s="204"/>
    </row>
    <row r="23" spans="1:13" ht="21" customHeight="1">
      <c r="B23" s="997"/>
      <c r="C23" s="997"/>
      <c r="D23" s="997"/>
      <c r="E23" s="998"/>
      <c r="F23" s="426"/>
      <c r="G23" s="426"/>
      <c r="H23" s="426"/>
      <c r="I23" s="426"/>
      <c r="J23" s="426"/>
      <c r="K23" s="426"/>
      <c r="L23" s="261">
        <f t="shared" si="0"/>
        <v>0</v>
      </c>
      <c r="M23" s="204"/>
    </row>
    <row r="24" spans="1:13" ht="21" customHeight="1">
      <c r="B24" s="997"/>
      <c r="C24" s="997"/>
      <c r="D24" s="997"/>
      <c r="E24" s="998"/>
      <c r="F24" s="426"/>
      <c r="G24" s="426"/>
      <c r="H24" s="426"/>
      <c r="I24" s="426"/>
      <c r="J24" s="426"/>
      <c r="K24" s="426"/>
      <c r="L24" s="261">
        <f t="shared" si="0"/>
        <v>0</v>
      </c>
      <c r="M24" s="204"/>
    </row>
    <row r="25" spans="1:13" ht="21" customHeight="1">
      <c r="B25" s="997"/>
      <c r="C25" s="997"/>
      <c r="D25" s="997"/>
      <c r="E25" s="998"/>
      <c r="F25" s="426"/>
      <c r="G25" s="426"/>
      <c r="H25" s="426"/>
      <c r="I25" s="426"/>
      <c r="J25" s="426"/>
      <c r="K25" s="426"/>
      <c r="L25" s="261">
        <f t="shared" si="0"/>
        <v>0</v>
      </c>
      <c r="M25" s="204"/>
    </row>
    <row r="26" spans="1:13" ht="21" customHeight="1">
      <c r="B26" s="997"/>
      <c r="C26" s="997"/>
      <c r="D26" s="997"/>
      <c r="E26" s="998"/>
      <c r="F26" s="426"/>
      <c r="G26" s="426"/>
      <c r="H26" s="426"/>
      <c r="I26" s="426"/>
      <c r="J26" s="426"/>
      <c r="K26" s="426"/>
      <c r="L26" s="261">
        <f t="shared" si="0"/>
        <v>0</v>
      </c>
    </row>
    <row r="27" spans="1:13" ht="21" customHeight="1" thickBot="1">
      <c r="B27" s="266"/>
      <c r="C27" s="264" t="s">
        <v>3262</v>
      </c>
      <c r="D27" s="264"/>
      <c r="E27" s="260"/>
      <c r="F27" s="268">
        <f t="shared" ref="F27:K27" si="1">SUM(F8:F26)</f>
        <v>630604.05000000005</v>
      </c>
      <c r="G27" s="268">
        <f>SUM(G8:G26)</f>
        <v>31118.080000000002</v>
      </c>
      <c r="H27" s="268">
        <f t="shared" si="1"/>
        <v>0</v>
      </c>
      <c r="I27" s="268">
        <f t="shared" si="1"/>
        <v>466138.86</v>
      </c>
      <c r="J27" s="268">
        <f t="shared" si="1"/>
        <v>0</v>
      </c>
      <c r="K27" s="268">
        <f t="shared" si="1"/>
        <v>0</v>
      </c>
      <c r="L27" s="259">
        <f>SUM(L8:L26)</f>
        <v>195583.27000000002</v>
      </c>
    </row>
    <row r="28" spans="1:13" ht="13.8" thickTop="1"/>
    <row r="31" spans="1:13">
      <c r="F31" s="204"/>
      <c r="L31" s="204"/>
    </row>
    <row r="33" spans="7:12">
      <c r="G33" s="204"/>
      <c r="L33" s="204"/>
    </row>
    <row r="34" spans="7:12">
      <c r="G34" s="204"/>
    </row>
  </sheetData>
  <sheetProtection algorithmName="SHA-512" hashValue="YWT7hzSNjtyW9iFV4iw6mF4nfcJhhjYNUf/b6qKYpbm/1oWNGUsMyqPhLOoOLKej42xy2UoHj6CgWMYOOu3ikA==" saltValue="qUOtKFsG5nPGp32PrZAP8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307</vt:i4>
      </vt:variant>
      <vt:variant>
        <vt:lpstr>Named Ranges</vt:lpstr>
      </vt:variant>
      <vt:variant>
        <vt:i4>306</vt:i4>
      </vt:variant>
    </vt:vector>
  </HeadingPairs>
  <TitlesOfParts>
    <vt:vector size="613" baseType="lpstr">
      <vt:lpstr>Instructions</vt:lpstr>
      <vt:lpstr>69 - Instructions</vt:lpstr>
      <vt:lpstr>KEY INPUTS</vt:lpstr>
      <vt:lpstr>KEY METRICS</vt:lpstr>
      <vt:lpstr>1- Cover</vt:lpstr>
      <vt:lpstr>1a - RMA Certification</vt:lpstr>
      <vt:lpstr>1b - Local Exam Qual Cert</vt:lpstr>
      <vt:lpstr>1c - Fed &amp; State Finan Asst.</vt:lpstr>
      <vt:lpstr>2 - No Utility Fund Cert</vt:lpstr>
      <vt:lpstr>3-Trial Bal-Current Fund</vt:lpstr>
      <vt:lpstr>3a-Trial Bal-Current Fund</vt:lpstr>
      <vt:lpstr>3a.1-Trial Bal-Current Fund</vt:lpstr>
      <vt:lpstr>4-Trial Bal-Pub Assist Fnd</vt:lpstr>
      <vt:lpstr>5-Trial Bal-Grants</vt:lpstr>
      <vt:lpstr>6-Trial Bal-Trust Fnds</vt:lpstr>
      <vt:lpstr>6.1-Trial Bal-Trust Fnds</vt:lpstr>
      <vt:lpstr>6.2-Trial Bal-Trust Fnds</vt:lpstr>
      <vt:lpstr>6.3-Trial Bal-Trust Fnds</vt:lpstr>
      <vt:lpstr>6.4-Trial Bal-Trust Fnds</vt:lpstr>
      <vt:lpstr>6.TOTAL-Trial Bal-Trust Fnds</vt:lpstr>
      <vt:lpstr>6b-Trust Fund Reserves</vt:lpstr>
      <vt:lpstr>6b.1-Trust Fund Reserves</vt:lpstr>
      <vt:lpstr>6b.2-Trust Fund Reserves</vt:lpstr>
      <vt:lpstr>6b.3-Trust Fund Reserves</vt:lpstr>
      <vt:lpstr>6b-Total Trust Fund Reserves</vt:lpstr>
      <vt:lpstr>7-Trust Asm Cash &amp; Investments</vt:lpstr>
      <vt:lpstr>8-Trial Bal-Gen Cap Fund</vt:lpstr>
      <vt:lpstr>8.1-Trial Bal-Gen Cap Fund</vt:lpstr>
      <vt:lpstr>9-Cash Reconciliation</vt:lpstr>
      <vt:lpstr>9a-Cash Reconciliation</vt:lpstr>
      <vt:lpstr>9a.1-Cash Reconciliation</vt:lpstr>
      <vt:lpstr>9a.2-Cash Reconciliation</vt:lpstr>
      <vt:lpstr>9a.3-Cash Reconciliation</vt:lpstr>
      <vt:lpstr>9a TOTAL-Cash Reconciliation</vt:lpstr>
      <vt:lpstr>10-Grants Receivable</vt:lpstr>
      <vt:lpstr>10.1-Grants Receivable</vt:lpstr>
      <vt:lpstr>10.2-Grants Receivable</vt:lpstr>
      <vt:lpstr>10.3-Grants Receivable</vt:lpstr>
      <vt:lpstr>10.4-Grants Receivable</vt:lpstr>
      <vt:lpstr>10.5-Grants Receivable</vt:lpstr>
      <vt:lpstr>10.6-Grants Receivable</vt:lpstr>
      <vt:lpstr>10.7-Grants Receivable</vt:lpstr>
      <vt:lpstr>10.8-Grants Receivable</vt:lpstr>
      <vt:lpstr>10.9-Grants Receivable</vt:lpstr>
      <vt:lpstr>10.10-Grants Receivable</vt:lpstr>
      <vt:lpstr>10.11-Grants Receivable</vt:lpstr>
      <vt:lpstr>10.12-Grants Receivable</vt:lpstr>
      <vt:lpstr>10.13-Grants Receivable</vt:lpstr>
      <vt:lpstr>10.14-Grants Receivable</vt:lpstr>
      <vt:lpstr>10.15-Grants Receivable</vt:lpstr>
      <vt:lpstr>10.16-Grants Receivable</vt:lpstr>
      <vt:lpstr>10.17-Grants Receivable</vt:lpstr>
      <vt:lpstr>10.18-Grants Receivable</vt:lpstr>
      <vt:lpstr>10.19-Grants Receivable</vt:lpstr>
      <vt:lpstr>10.20-Grants Receivable</vt:lpstr>
      <vt:lpstr>10.21-Grants Receivable</vt:lpstr>
      <vt:lpstr>10.22-Grants Receivable</vt:lpstr>
      <vt:lpstr>10.23-Grants Receivable</vt:lpstr>
      <vt:lpstr>10.24-Grants Receivable</vt:lpstr>
      <vt:lpstr>10 Totals Grants Receivable</vt:lpstr>
      <vt:lpstr>11 Grants Approp Rsrv</vt:lpstr>
      <vt:lpstr>11.1 Grants Approp Rsrv</vt:lpstr>
      <vt:lpstr>11.2 Grants Approp Rsrv</vt:lpstr>
      <vt:lpstr>11.3 Grants Approp Rsrv</vt:lpstr>
      <vt:lpstr>11.4 Grants Approp Rsrv</vt:lpstr>
      <vt:lpstr>11.5 Grants Approp Rsrv</vt:lpstr>
      <vt:lpstr>11.6 Grants Approp Rsrv</vt:lpstr>
      <vt:lpstr>11.7 Grants Approp Rsrv</vt:lpstr>
      <vt:lpstr>11.8 Grants Approp Rsrv</vt:lpstr>
      <vt:lpstr>11.9 Grants Approp Rsrv</vt:lpstr>
      <vt:lpstr>11.10 Grants Approp Rsrv</vt:lpstr>
      <vt:lpstr>11.11 Grants Approp Rsrv</vt:lpstr>
      <vt:lpstr>11.12 Grants Approp Rsrv</vt:lpstr>
      <vt:lpstr>11.13 Grants Approp Rsrv</vt:lpstr>
      <vt:lpstr>11.14 Grants Approp Rsrv</vt:lpstr>
      <vt:lpstr>11.15 Grants Approp Rsrv</vt:lpstr>
      <vt:lpstr>11.16 Grants Approp Rsrv</vt:lpstr>
      <vt:lpstr>11.17 Grants Approp Rsrv</vt:lpstr>
      <vt:lpstr>11.18 Grants Approp Rsrv</vt:lpstr>
      <vt:lpstr>11.19 Grants Approp Rsrv</vt:lpstr>
      <vt:lpstr>11.20 Grants Approp Rsrv</vt:lpstr>
      <vt:lpstr>11.21 Grants Approp Rsrv</vt:lpstr>
      <vt:lpstr>11.22 Grants Approp Rsrv</vt:lpstr>
      <vt:lpstr>11.23 Grants Approp Rsrv</vt:lpstr>
      <vt:lpstr>11.24 Grants Approp Rsrv</vt:lpstr>
      <vt:lpstr>11.25 Grants Approp Rsrv</vt:lpstr>
      <vt:lpstr>11.26 Grants Approp Rsrv</vt:lpstr>
      <vt:lpstr>11.27 Grants Approp Rsrv</vt:lpstr>
      <vt:lpstr>11.28 Grants Approp Rsrv</vt:lpstr>
      <vt:lpstr>11.29 Grants Approp Rsrv</vt:lpstr>
      <vt:lpstr>11.30 Grants Approp Rsrv</vt:lpstr>
      <vt:lpstr>11.31 Grants Approp Rsrv</vt:lpstr>
      <vt:lpstr>11.32 Grants Approp Rsrv</vt:lpstr>
      <vt:lpstr>11.33 Grants Approp Rsrv</vt:lpstr>
      <vt:lpstr>11.34 Grants Approp Rsrv</vt:lpstr>
      <vt:lpstr>11.35 Grants Approp Rsrv</vt:lpstr>
      <vt:lpstr>11.36 Grants Approp Rsrv</vt:lpstr>
      <vt:lpstr>11.37 Grants Approp Rsrv</vt:lpstr>
      <vt:lpstr>11.38 Grants Approp Rsrv</vt:lpstr>
      <vt:lpstr>11.39 Grants Approp Rsrv</vt:lpstr>
      <vt:lpstr>11- Totals Grants Approp Rsrv</vt:lpstr>
      <vt:lpstr>12-Grants Unappropriated</vt:lpstr>
      <vt:lpstr>12.1-Grants Unappropriated</vt:lpstr>
      <vt:lpstr>12.2-Grants Unappropriated</vt:lpstr>
      <vt:lpstr>12 Total-Grants Unappropriated</vt:lpstr>
      <vt:lpstr>13-Other Taxes</vt:lpstr>
      <vt:lpstr>14-Other Taxes</vt:lpstr>
      <vt:lpstr>15-Other Taxes</vt:lpstr>
      <vt:lpstr>17-Budget Revenues</vt:lpstr>
      <vt:lpstr>17a-Budget Revenues</vt:lpstr>
      <vt:lpstr>17a.1-Budget Revenues </vt:lpstr>
      <vt:lpstr>17a.2-Budget Revenues</vt:lpstr>
      <vt:lpstr>17a.3-Budget Revenues</vt:lpstr>
      <vt:lpstr>17a Totals-Budget Revenues</vt:lpstr>
      <vt:lpstr>18-Budget Appropriations</vt:lpstr>
      <vt:lpstr>19-Results of Op-Cur Fnd</vt:lpstr>
      <vt:lpstr>20-Misc Rev Not Ant</vt:lpstr>
      <vt:lpstr>20.1-Misc Rev Not Ant</vt:lpstr>
      <vt:lpstr>20 Total-Misc Rev Not Ant</vt:lpstr>
      <vt:lpstr>21-Current Fund Surplus</vt:lpstr>
      <vt:lpstr>22-CY Levy</vt:lpstr>
      <vt:lpstr>22a-Tax Levy Sale</vt:lpstr>
      <vt:lpstr>23-SCVet Deductions</vt:lpstr>
      <vt:lpstr>24-Reserves for Tax Appeals</vt:lpstr>
      <vt:lpstr>26-Delinquent Taxes and Liens</vt:lpstr>
      <vt:lpstr>27-Foreclosed Property</vt:lpstr>
      <vt:lpstr>28-Deferred Charges</vt:lpstr>
      <vt:lpstr>29-Special Emergency</vt:lpstr>
      <vt:lpstr>30-Special Emergency</vt:lpstr>
      <vt:lpstr>31-Capital Bond Schedule</vt:lpstr>
      <vt:lpstr>31A-Loan Schedule</vt:lpstr>
      <vt:lpstr>31A.1-Loan Schedule</vt:lpstr>
      <vt:lpstr>31A.2-Loan Schedule</vt:lpstr>
      <vt:lpstr>32-Bond Schedule</vt:lpstr>
      <vt:lpstr>33-Note Debt Service</vt:lpstr>
      <vt:lpstr>33.1-Note Debt Service</vt:lpstr>
      <vt:lpstr>33 Totals-Note Debt Service</vt:lpstr>
      <vt:lpstr>34-Assmt Note Debt Service</vt:lpstr>
      <vt:lpstr>34a-Cap Lease Program Oblg</vt:lpstr>
      <vt:lpstr>35- Cap Fund Imprv Auth</vt:lpstr>
      <vt:lpstr>35.1- Cap Fund Imprv Auth </vt:lpstr>
      <vt:lpstr>35.2- Cap Fund Imprv Auth</vt:lpstr>
      <vt:lpstr>35.3- Cap Fund Imprv Auth</vt:lpstr>
      <vt:lpstr>35.4- Cap Fund Imprv Auth</vt:lpstr>
      <vt:lpstr>35.5- Cap Fund Imprv Auth</vt:lpstr>
      <vt:lpstr>35.6- Cap Fund Imprv Auth</vt:lpstr>
      <vt:lpstr>35.7- Cap Fund Imprv Auth</vt:lpstr>
      <vt:lpstr>35.8- Cap Fund Imprv Auth</vt:lpstr>
      <vt:lpstr>35.9- Cap Fund Imprv Auth</vt:lpstr>
      <vt:lpstr>35 Totals- Cap Fund Imprv Auth</vt:lpstr>
      <vt:lpstr>36- Capital Improvement Fund</vt:lpstr>
      <vt:lpstr>37- Cap Fund Down Pymts</vt:lpstr>
      <vt:lpstr>37- Cap Fund Down Pymts (2)</vt:lpstr>
      <vt:lpstr>38- Capital Surplus</vt:lpstr>
      <vt:lpstr>39- Req. Information</vt:lpstr>
      <vt:lpstr>40</vt:lpstr>
      <vt:lpstr>41-Utility1</vt:lpstr>
      <vt:lpstr>41a-Utility1</vt:lpstr>
      <vt:lpstr>41a.1-Utility1</vt:lpstr>
      <vt:lpstr>42-Utility1</vt:lpstr>
      <vt:lpstr>43-Utility1</vt:lpstr>
      <vt:lpstr>44-Utility1</vt:lpstr>
      <vt:lpstr>45-Utility1</vt:lpstr>
      <vt:lpstr>46-Utility1</vt:lpstr>
      <vt:lpstr>47-Utility1</vt:lpstr>
      <vt:lpstr>48-Utility1</vt:lpstr>
      <vt:lpstr>48a-Utility1</vt:lpstr>
      <vt:lpstr>49-Utility1</vt:lpstr>
      <vt:lpstr>49a-Utility1</vt:lpstr>
      <vt:lpstr>49a.1-Utility1</vt:lpstr>
      <vt:lpstr>50-Utility1</vt:lpstr>
      <vt:lpstr>50.1-Utility1</vt:lpstr>
      <vt:lpstr>51-Utility1</vt:lpstr>
      <vt:lpstr>51a-Utility1</vt:lpstr>
      <vt:lpstr>52-Utility1</vt:lpstr>
      <vt:lpstr>52.1-Utility1</vt:lpstr>
      <vt:lpstr>52.2-Utility1</vt:lpstr>
      <vt:lpstr>52.3-Utility1</vt:lpstr>
      <vt:lpstr>52-Totals-Utility1</vt:lpstr>
      <vt:lpstr>53-Utility1</vt:lpstr>
      <vt:lpstr>54-Utility1</vt:lpstr>
      <vt:lpstr>41-Utility2</vt:lpstr>
      <vt:lpstr>41a-Utility2</vt:lpstr>
      <vt:lpstr>41a.1-Utility2</vt:lpstr>
      <vt:lpstr>42-Utility2</vt:lpstr>
      <vt:lpstr>43-Utility2</vt:lpstr>
      <vt:lpstr>44-Utility2</vt:lpstr>
      <vt:lpstr>45-Utility2</vt:lpstr>
      <vt:lpstr>46-Utility2</vt:lpstr>
      <vt:lpstr>47-Utility2</vt:lpstr>
      <vt:lpstr>48-Utility2</vt:lpstr>
      <vt:lpstr>48a-Utility2</vt:lpstr>
      <vt:lpstr>49-Utility2</vt:lpstr>
      <vt:lpstr>49a-Utility2</vt:lpstr>
      <vt:lpstr>49a.1-Utility2</vt:lpstr>
      <vt:lpstr>50-Utility2</vt:lpstr>
      <vt:lpstr>50.1-Utility2</vt:lpstr>
      <vt:lpstr>51-Utility2</vt:lpstr>
      <vt:lpstr>51a-Utility2</vt:lpstr>
      <vt:lpstr>52-Utility2</vt:lpstr>
      <vt:lpstr>52.1-Utility2</vt:lpstr>
      <vt:lpstr>52.2-Utility2</vt:lpstr>
      <vt:lpstr>52.3-Utility2</vt:lpstr>
      <vt:lpstr>52-Totals-Utility2</vt:lpstr>
      <vt:lpstr>53-Utility2</vt:lpstr>
      <vt:lpstr>54-Utility2</vt:lpstr>
      <vt:lpstr>41-Utility3</vt:lpstr>
      <vt:lpstr>41a-Utility3</vt:lpstr>
      <vt:lpstr>41a.1-Utility3</vt:lpstr>
      <vt:lpstr>42-Utility3</vt:lpstr>
      <vt:lpstr>43-Utility3</vt:lpstr>
      <vt:lpstr>44-Utility3</vt:lpstr>
      <vt:lpstr>45-Utility3</vt:lpstr>
      <vt:lpstr>46-Utility3</vt:lpstr>
      <vt:lpstr>47-Utility3</vt:lpstr>
      <vt:lpstr>48-Utility3</vt:lpstr>
      <vt:lpstr>48a-Utility3</vt:lpstr>
      <vt:lpstr>49-Utility3</vt:lpstr>
      <vt:lpstr>49a-Utility3</vt:lpstr>
      <vt:lpstr>49a.1-Utility3</vt:lpstr>
      <vt:lpstr>50-Utility3</vt:lpstr>
      <vt:lpstr>50.1-Utility3</vt:lpstr>
      <vt:lpstr>51-Utility3</vt:lpstr>
      <vt:lpstr>51a-Utility3</vt:lpstr>
      <vt:lpstr>52-Utility3</vt:lpstr>
      <vt:lpstr>52.1-Utility3</vt:lpstr>
      <vt:lpstr>52.2-Utility3</vt:lpstr>
      <vt:lpstr>52.3-Utility3</vt:lpstr>
      <vt:lpstr>52-Totals-Utility3</vt:lpstr>
      <vt:lpstr>53-Utility3</vt:lpstr>
      <vt:lpstr>54-Utility3</vt:lpstr>
      <vt:lpstr>41-Utility4</vt:lpstr>
      <vt:lpstr>41a-Utility4</vt:lpstr>
      <vt:lpstr>41a.1-Utility4</vt:lpstr>
      <vt:lpstr>42-Utility4</vt:lpstr>
      <vt:lpstr>43-Utility4</vt:lpstr>
      <vt:lpstr>44-Utility4</vt:lpstr>
      <vt:lpstr>45-Utility4</vt:lpstr>
      <vt:lpstr>46-Utility4</vt:lpstr>
      <vt:lpstr>47-Utility4</vt:lpstr>
      <vt:lpstr>48-Utility4</vt:lpstr>
      <vt:lpstr>48a-Utility4</vt:lpstr>
      <vt:lpstr>49-Utility4</vt:lpstr>
      <vt:lpstr>49a-Utility4</vt:lpstr>
      <vt:lpstr>49a.1-Utility4</vt:lpstr>
      <vt:lpstr>50-Utility4</vt:lpstr>
      <vt:lpstr>50.1-Utility4</vt:lpstr>
      <vt:lpstr>51-Utility4</vt:lpstr>
      <vt:lpstr>51a-Utility4</vt:lpstr>
      <vt:lpstr>52-Utility4</vt:lpstr>
      <vt:lpstr>52.1-Utility4</vt:lpstr>
      <vt:lpstr>52.2-Utility4</vt:lpstr>
      <vt:lpstr>52.3-Utility4</vt:lpstr>
      <vt:lpstr>52-Totals-Utility4</vt:lpstr>
      <vt:lpstr>53-Utility4</vt:lpstr>
      <vt:lpstr>54-Utility4</vt:lpstr>
      <vt:lpstr>41-Utility5</vt:lpstr>
      <vt:lpstr>41a-Utility5</vt:lpstr>
      <vt:lpstr>41a.1-Utility5</vt:lpstr>
      <vt:lpstr>42-Utility5</vt:lpstr>
      <vt:lpstr>43-Utility5</vt:lpstr>
      <vt:lpstr>44-Utility5</vt:lpstr>
      <vt:lpstr>45-Utility5</vt:lpstr>
      <vt:lpstr>46-Utility5</vt:lpstr>
      <vt:lpstr>47-Utility5</vt:lpstr>
      <vt:lpstr>48-Utility5</vt:lpstr>
      <vt:lpstr>48a-Utility5</vt:lpstr>
      <vt:lpstr>49-Utility5</vt:lpstr>
      <vt:lpstr>49a-Utility5</vt:lpstr>
      <vt:lpstr>49a.1-Utility5</vt:lpstr>
      <vt:lpstr>50-Utility5</vt:lpstr>
      <vt:lpstr>50.1-Utility5</vt:lpstr>
      <vt:lpstr>51-Utility5</vt:lpstr>
      <vt:lpstr>51a-Utility5</vt:lpstr>
      <vt:lpstr>52-Utility5</vt:lpstr>
      <vt:lpstr>52.1-Utility5</vt:lpstr>
      <vt:lpstr>52.2-Utility5</vt:lpstr>
      <vt:lpstr>52.3-Utility5</vt:lpstr>
      <vt:lpstr>52-Totals-Utility5</vt:lpstr>
      <vt:lpstr>53-Utility5</vt:lpstr>
      <vt:lpstr>54-Utility5</vt:lpstr>
      <vt:lpstr>41-Utility6</vt:lpstr>
      <vt:lpstr>41a-Utility6</vt:lpstr>
      <vt:lpstr>41a.1-Utility6</vt:lpstr>
      <vt:lpstr>42-Utility6</vt:lpstr>
      <vt:lpstr>43-Utility6</vt:lpstr>
      <vt:lpstr>44-Utility6</vt:lpstr>
      <vt:lpstr>45-Utility6</vt:lpstr>
      <vt:lpstr>46-Utility6</vt:lpstr>
      <vt:lpstr>47-Utility6</vt:lpstr>
      <vt:lpstr>48-Utility6</vt:lpstr>
      <vt:lpstr>48a-Utility6</vt:lpstr>
      <vt:lpstr>49-Utility6</vt:lpstr>
      <vt:lpstr>49a-Utility6</vt:lpstr>
      <vt:lpstr>49a.1-Utility6</vt:lpstr>
      <vt:lpstr>50-Utility6</vt:lpstr>
      <vt:lpstr>50.1-Utility6</vt:lpstr>
      <vt:lpstr>51-Utility6</vt:lpstr>
      <vt:lpstr>51a-Utility6</vt:lpstr>
      <vt:lpstr>52-Utility6</vt:lpstr>
      <vt:lpstr>52.1-Utility6</vt:lpstr>
      <vt:lpstr>52.2-Utility6</vt:lpstr>
      <vt:lpstr>52.3-Utility6</vt:lpstr>
      <vt:lpstr>52-Totals-Utility6</vt:lpstr>
      <vt:lpstr>53-Utility6</vt:lpstr>
      <vt:lpstr>54-Utility6</vt:lpstr>
      <vt:lpstr>Sheet1</vt:lpstr>
      <vt:lpstr>'1- Cover'!Print_Area</vt:lpstr>
      <vt:lpstr>'10 Totals Grants Receivable'!Print_Area</vt:lpstr>
      <vt:lpstr>'10.10-Grants Receivable'!Print_Area</vt:lpstr>
      <vt:lpstr>'10.11-Grants Receivable'!Print_Area</vt:lpstr>
      <vt:lpstr>'10.12-Grants Receivable'!Print_Area</vt:lpstr>
      <vt:lpstr>'10.13-Grants Receivable'!Print_Area</vt:lpstr>
      <vt:lpstr>'10.14-Grants Receivable'!Print_Area</vt:lpstr>
      <vt:lpstr>'10.15-Grants Receivable'!Print_Area</vt:lpstr>
      <vt:lpstr>'10.16-Grants Receivable'!Print_Area</vt:lpstr>
      <vt:lpstr>'10.17-Grants Receivable'!Print_Area</vt:lpstr>
      <vt:lpstr>'10.18-Grants Receivable'!Print_Area</vt:lpstr>
      <vt:lpstr>'10.19-Grants Receivable'!Print_Area</vt:lpstr>
      <vt:lpstr>'10.1-Grants Receivable'!Print_Area</vt:lpstr>
      <vt:lpstr>'10.20-Grants Receivable'!Print_Area</vt:lpstr>
      <vt:lpstr>'10.21-Grants Receivable'!Print_Area</vt:lpstr>
      <vt:lpstr>'10.22-Grants Receivable'!Print_Area</vt:lpstr>
      <vt:lpstr>'10.23-Grants Receivable'!Print_Area</vt:lpstr>
      <vt:lpstr>'10.24-Grants Receivable'!Print_Area</vt:lpstr>
      <vt:lpstr>'10.2-Grants Receivable'!Print_Area</vt:lpstr>
      <vt:lpstr>'10.3-Grants Receivable'!Print_Area</vt:lpstr>
      <vt:lpstr>'10.4-Grants Receivable'!Print_Area</vt:lpstr>
      <vt:lpstr>'10.5-Grants Receivable'!Print_Area</vt:lpstr>
      <vt:lpstr>'10.6-Grants Receivable'!Print_Area</vt:lpstr>
      <vt:lpstr>'10.7-Grants Receivable'!Print_Area</vt:lpstr>
      <vt:lpstr>'10.8-Grants Receivable'!Print_Area</vt:lpstr>
      <vt:lpstr>'10.9-Grants Receivable'!Print_Area</vt:lpstr>
      <vt:lpstr>'10-Grants Receivable'!Print_Area</vt:lpstr>
      <vt:lpstr>'11 Grants Approp Rsrv'!Print_Area</vt:lpstr>
      <vt:lpstr>'11- Totals Grants Approp Rsrv'!Print_Area</vt:lpstr>
      <vt:lpstr>'11.1 Grants Approp Rsrv'!Print_Area</vt:lpstr>
      <vt:lpstr>'11.10 Grants Approp Rsrv'!Print_Area</vt:lpstr>
      <vt:lpstr>'11.11 Grants Approp Rsrv'!Print_Area</vt:lpstr>
      <vt:lpstr>'11.12 Grants Approp Rsrv'!Print_Area</vt:lpstr>
      <vt:lpstr>'11.13 Grants Approp Rsrv'!Print_Area</vt:lpstr>
      <vt:lpstr>'11.14 Grants Approp Rsrv'!Print_Area</vt:lpstr>
      <vt:lpstr>'11.15 Grants Approp Rsrv'!Print_Area</vt:lpstr>
      <vt:lpstr>'11.16 Grants Approp Rsrv'!Print_Area</vt:lpstr>
      <vt:lpstr>'11.17 Grants Approp Rsrv'!Print_Area</vt:lpstr>
      <vt:lpstr>'11.18 Grants Approp Rsrv'!Print_Area</vt:lpstr>
      <vt:lpstr>'11.19 Grants Approp Rsrv'!Print_Area</vt:lpstr>
      <vt:lpstr>'11.2 Grants Approp Rsrv'!Print_Area</vt:lpstr>
      <vt:lpstr>'11.20 Grants Approp Rsrv'!Print_Area</vt:lpstr>
      <vt:lpstr>'11.21 Grants Approp Rsrv'!Print_Area</vt:lpstr>
      <vt:lpstr>'11.22 Grants Approp Rsrv'!Print_Area</vt:lpstr>
      <vt:lpstr>'11.23 Grants Approp Rsrv'!Print_Area</vt:lpstr>
      <vt:lpstr>'11.24 Grants Approp Rsrv'!Print_Area</vt:lpstr>
      <vt:lpstr>'11.25 Grants Approp Rsrv'!Print_Area</vt:lpstr>
      <vt:lpstr>'11.26 Grants Approp Rsrv'!Print_Area</vt:lpstr>
      <vt:lpstr>'11.27 Grants Approp Rsrv'!Print_Area</vt:lpstr>
      <vt:lpstr>'11.28 Grants Approp Rsrv'!Print_Area</vt:lpstr>
      <vt:lpstr>'11.29 Grants Approp Rsrv'!Print_Area</vt:lpstr>
      <vt:lpstr>'11.3 Grants Approp Rsrv'!Print_Area</vt:lpstr>
      <vt:lpstr>'11.30 Grants Approp Rsrv'!Print_Area</vt:lpstr>
      <vt:lpstr>'11.31 Grants Approp Rsrv'!Print_Area</vt:lpstr>
      <vt:lpstr>'11.32 Grants Approp Rsrv'!Print_Area</vt:lpstr>
      <vt:lpstr>'11.33 Grants Approp Rsrv'!Print_Area</vt:lpstr>
      <vt:lpstr>'11.34 Grants Approp Rsrv'!Print_Area</vt:lpstr>
      <vt:lpstr>'11.35 Grants Approp Rsrv'!Print_Area</vt:lpstr>
      <vt:lpstr>'11.36 Grants Approp Rsrv'!Print_Area</vt:lpstr>
      <vt:lpstr>'11.37 Grants Approp Rsrv'!Print_Area</vt:lpstr>
      <vt:lpstr>'11.38 Grants Approp Rsrv'!Print_Area</vt:lpstr>
      <vt:lpstr>'11.39 Grants Approp Rsrv'!Print_Area</vt:lpstr>
      <vt:lpstr>'11.4 Grants Approp Rsrv'!Print_Area</vt:lpstr>
      <vt:lpstr>'11.5 Grants Approp Rsrv'!Print_Area</vt:lpstr>
      <vt:lpstr>'11.6 Grants Approp Rsrv'!Print_Area</vt:lpstr>
      <vt:lpstr>'11.7 Grants Approp Rsrv'!Print_Area</vt:lpstr>
      <vt:lpstr>'11.8 Grants Approp Rsrv'!Print_Area</vt:lpstr>
      <vt:lpstr>'11.9 Grants Approp Rsrv'!Print_Area</vt:lpstr>
      <vt:lpstr>'12 Total-Grants Unappropriated'!Print_Area</vt:lpstr>
      <vt:lpstr>'12.1-Grants Unappropriated'!Print_Area</vt:lpstr>
      <vt:lpstr>'12.2-Grants Unappropriated'!Print_Area</vt:lpstr>
      <vt:lpstr>'12-Grants Unappropriated'!Print_Area</vt:lpstr>
      <vt:lpstr>'13-Other Taxes'!Print_Area</vt:lpstr>
      <vt:lpstr>'14-Other Taxes'!Print_Area</vt:lpstr>
      <vt:lpstr>'15-Other Taxes'!Print_Area</vt:lpstr>
      <vt:lpstr>'17a Totals-Budget Revenues'!Print_Area</vt:lpstr>
      <vt:lpstr>'17a.1-Budget Revenues '!Print_Area</vt:lpstr>
      <vt:lpstr>'17a.2-Budget Revenues'!Print_Area</vt:lpstr>
      <vt:lpstr>'17a.3-Budget Revenues'!Print_Area</vt:lpstr>
      <vt:lpstr>'17a-Budget Revenues'!Print_Area</vt:lpstr>
      <vt:lpstr>'17-Budget Revenues'!Print_Area</vt:lpstr>
      <vt:lpstr>'18-Budget Appropriations'!Print_Area</vt:lpstr>
      <vt:lpstr>'19-Results of Op-Cur Fnd'!Print_Area</vt:lpstr>
      <vt:lpstr>'1a - RMA Certification'!Print_Area</vt:lpstr>
      <vt:lpstr>'1b - Local Exam Qual Cert'!Print_Area</vt:lpstr>
      <vt:lpstr>'1c - Fed &amp; State Finan Asst.'!Print_Area</vt:lpstr>
      <vt:lpstr>'2 - No Utility Fund Cert'!Print_Area</vt:lpstr>
      <vt:lpstr>'20 Total-Misc Rev Not Ant'!Print_Area</vt:lpstr>
      <vt:lpstr>'20.1-Misc Rev Not Ant'!Print_Area</vt:lpstr>
      <vt:lpstr>'20-Misc Rev Not Ant'!Print_Area</vt:lpstr>
      <vt:lpstr>'21-Current Fund Surplus'!Print_Area</vt:lpstr>
      <vt:lpstr>'22a-Tax Levy Sale'!Print_Area</vt:lpstr>
      <vt:lpstr>'22-CY Levy'!Print_Area</vt:lpstr>
      <vt:lpstr>'23-SCVet Deductions'!Print_Area</vt:lpstr>
      <vt:lpstr>'24-Reserves for Tax Appeals'!Print_Area</vt:lpstr>
      <vt:lpstr>'26-Delinquent Taxes and Liens'!Print_Area</vt:lpstr>
      <vt:lpstr>'27-Foreclosed Property'!Print_Area</vt:lpstr>
      <vt:lpstr>'28-Deferred Charges'!Print_Area</vt:lpstr>
      <vt:lpstr>'29-Special Emergency'!Print_Area</vt:lpstr>
      <vt:lpstr>'30-Special Emergency'!Print_Area</vt:lpstr>
      <vt:lpstr>'31A.1-Loan Schedule'!Print_Area</vt:lpstr>
      <vt:lpstr>'31A.2-Loan Schedule'!Print_Area</vt:lpstr>
      <vt:lpstr>'31A-Loan Schedule'!Print_Area</vt:lpstr>
      <vt:lpstr>'31-Capital Bond Schedule'!Print_Area</vt:lpstr>
      <vt:lpstr>'32-Bond Schedule'!Print_Area</vt:lpstr>
      <vt:lpstr>'33 Totals-Note Debt Service'!Print_Area</vt:lpstr>
      <vt:lpstr>'33.1-Note Debt Service'!Print_Area</vt:lpstr>
      <vt:lpstr>'33-Note Debt Service'!Print_Area</vt:lpstr>
      <vt:lpstr>'34a-Cap Lease Program Oblg'!Print_Area</vt:lpstr>
      <vt:lpstr>'34-Assmt Note Debt Service'!Print_Area</vt:lpstr>
      <vt:lpstr>'35- Cap Fund Imprv Auth'!Print_Area</vt:lpstr>
      <vt:lpstr>'35 Totals- Cap Fund Imprv Auth'!Print_Area</vt:lpstr>
      <vt:lpstr>'35.1- Cap Fund Imprv Auth '!Print_Area</vt:lpstr>
      <vt:lpstr>'35.2- Cap Fund Imprv Auth'!Print_Area</vt:lpstr>
      <vt:lpstr>'35.3- Cap Fund Imprv Auth'!Print_Area</vt:lpstr>
      <vt:lpstr>'35.4- Cap Fund Imprv Auth'!Print_Area</vt:lpstr>
      <vt:lpstr>'35.5- Cap Fund Imprv Auth'!Print_Area</vt:lpstr>
      <vt:lpstr>'35.6- Cap Fund Imprv Auth'!Print_Area</vt:lpstr>
      <vt:lpstr>'35.7- Cap Fund Imprv Auth'!Print_Area</vt:lpstr>
      <vt:lpstr>'35.8- Cap Fund Imprv Auth'!Print_Area</vt:lpstr>
      <vt:lpstr>'35.9- Cap Fund Imprv Auth'!Print_Area</vt:lpstr>
      <vt:lpstr>'36- Capital Improvement Fund'!Print_Area</vt:lpstr>
      <vt:lpstr>'37- Cap Fund Down Pymts'!Print_Area</vt:lpstr>
      <vt:lpstr>'37- Cap Fund Down Pymts (2)'!Print_Area</vt:lpstr>
      <vt:lpstr>'38- Capital Surplus'!Print_Area</vt:lpstr>
      <vt:lpstr>'39- Req. Information'!Print_Area</vt:lpstr>
      <vt:lpstr>'3a.1-Trial Bal-Current Fund'!Print_Area</vt:lpstr>
      <vt:lpstr>'3a-Trial Bal-Current Fund'!Print_Area</vt:lpstr>
      <vt:lpstr>'3-Trial Bal-Current Fund'!Print_Area</vt:lpstr>
      <vt:lpstr>'40'!Print_Area</vt:lpstr>
      <vt:lpstr>'41a.1-Utility1'!Print_Area</vt:lpstr>
      <vt:lpstr>'41a.1-Utility2'!Print_Area</vt:lpstr>
      <vt:lpstr>'41a.1-Utility3'!Print_Area</vt:lpstr>
      <vt:lpstr>'41a.1-Utility4'!Print_Area</vt:lpstr>
      <vt:lpstr>'41a.1-Utility5'!Print_Area</vt:lpstr>
      <vt:lpstr>'41a.1-Utility6'!Print_Area</vt:lpstr>
      <vt:lpstr>'41a-Utility1'!Print_Area</vt:lpstr>
      <vt:lpstr>'41a-Utility2'!Print_Area</vt:lpstr>
      <vt:lpstr>'41a-Utility3'!Print_Area</vt:lpstr>
      <vt:lpstr>'41a-Utility4'!Print_Area</vt:lpstr>
      <vt:lpstr>'41a-Utility5'!Print_Area</vt:lpstr>
      <vt:lpstr>'41a-Utility6'!Print_Area</vt:lpstr>
      <vt:lpstr>'41-Utility1'!Print_Area</vt:lpstr>
      <vt:lpstr>'41-Utility2'!Print_Area</vt:lpstr>
      <vt:lpstr>'41-Utility3'!Print_Area</vt:lpstr>
      <vt:lpstr>'41-Utility4'!Print_Area</vt:lpstr>
      <vt:lpstr>'41-Utility5'!Print_Area</vt:lpstr>
      <vt:lpstr>'41-Utility6'!Print_Area</vt:lpstr>
      <vt:lpstr>'42-Utility1'!Print_Area</vt:lpstr>
      <vt:lpstr>'42-Utility2'!Print_Area</vt:lpstr>
      <vt:lpstr>'42-Utility3'!Print_Area</vt:lpstr>
      <vt:lpstr>'42-Utility4'!Print_Area</vt:lpstr>
      <vt:lpstr>'42-Utility5'!Print_Area</vt:lpstr>
      <vt:lpstr>'42-Utility6'!Print_Area</vt:lpstr>
      <vt:lpstr>'43-Utility1'!Print_Area</vt:lpstr>
      <vt:lpstr>'43-Utility2'!Print_Area</vt:lpstr>
      <vt:lpstr>'43-Utility3'!Print_Area</vt:lpstr>
      <vt:lpstr>'43-Utility4'!Print_Area</vt:lpstr>
      <vt:lpstr>'43-Utility5'!Print_Area</vt:lpstr>
      <vt:lpstr>'43-Utility6'!Print_Area</vt:lpstr>
      <vt:lpstr>'44-Utility1'!Print_Area</vt:lpstr>
      <vt:lpstr>'44-Utility2'!Print_Area</vt:lpstr>
      <vt:lpstr>'44-Utility3'!Print_Area</vt:lpstr>
      <vt:lpstr>'44-Utility4'!Print_Area</vt:lpstr>
      <vt:lpstr>'44-Utility5'!Print_Area</vt:lpstr>
      <vt:lpstr>'44-Utility6'!Print_Area</vt:lpstr>
      <vt:lpstr>'45-Utility1'!Print_Area</vt:lpstr>
      <vt:lpstr>'45-Utility2'!Print_Area</vt:lpstr>
      <vt:lpstr>'45-Utility3'!Print_Area</vt:lpstr>
      <vt:lpstr>'45-Utility4'!Print_Area</vt:lpstr>
      <vt:lpstr>'45-Utility5'!Print_Area</vt:lpstr>
      <vt:lpstr>'45-Utility6'!Print_Area</vt:lpstr>
      <vt:lpstr>'46-Utility1'!Print_Area</vt:lpstr>
      <vt:lpstr>'46-Utility2'!Print_Area</vt:lpstr>
      <vt:lpstr>'46-Utility3'!Print_Area</vt:lpstr>
      <vt:lpstr>'46-Utility4'!Print_Area</vt:lpstr>
      <vt:lpstr>'46-Utility5'!Print_Area</vt:lpstr>
      <vt:lpstr>'46-Utility6'!Print_Area</vt:lpstr>
      <vt:lpstr>'47-Utility1'!Print_Area</vt:lpstr>
      <vt:lpstr>'47-Utility2'!Print_Area</vt:lpstr>
      <vt:lpstr>'47-Utility3'!Print_Area</vt:lpstr>
      <vt:lpstr>'47-Utility4'!Print_Area</vt:lpstr>
      <vt:lpstr>'47-Utility5'!Print_Area</vt:lpstr>
      <vt:lpstr>'47-Utility6'!Print_Area</vt:lpstr>
      <vt:lpstr>'48a-Utility1'!Print_Area</vt:lpstr>
      <vt:lpstr>'48a-Utility2'!Print_Area</vt:lpstr>
      <vt:lpstr>'48a-Utility3'!Print_Area</vt:lpstr>
      <vt:lpstr>'48a-Utility4'!Print_Area</vt:lpstr>
      <vt:lpstr>'48a-Utility5'!Print_Area</vt:lpstr>
      <vt:lpstr>'48a-Utility6'!Print_Area</vt:lpstr>
      <vt:lpstr>'48-Utility1'!Print_Area</vt:lpstr>
      <vt:lpstr>'48-Utility2'!Print_Area</vt:lpstr>
      <vt:lpstr>'48-Utility3'!Print_Area</vt:lpstr>
      <vt:lpstr>'48-Utility4'!Print_Area</vt:lpstr>
      <vt:lpstr>'48-Utility5'!Print_Area</vt:lpstr>
      <vt:lpstr>'48-Utility6'!Print_Area</vt:lpstr>
      <vt:lpstr>'49a.1-Utility1'!Print_Area</vt:lpstr>
      <vt:lpstr>'49a.1-Utility2'!Print_Area</vt:lpstr>
      <vt:lpstr>'49a.1-Utility3'!Print_Area</vt:lpstr>
      <vt:lpstr>'49a.1-Utility4'!Print_Area</vt:lpstr>
      <vt:lpstr>'49a.1-Utility5'!Print_Area</vt:lpstr>
      <vt:lpstr>'49a.1-Utility6'!Print_Area</vt:lpstr>
      <vt:lpstr>'49a-Utility1'!Print_Area</vt:lpstr>
      <vt:lpstr>'49a-Utility2'!Print_Area</vt:lpstr>
      <vt:lpstr>'49a-Utility3'!Print_Area</vt:lpstr>
      <vt:lpstr>'49a-Utility4'!Print_Area</vt:lpstr>
      <vt:lpstr>'49a-Utility5'!Print_Area</vt:lpstr>
      <vt:lpstr>'49a-Utility6'!Print_Area</vt:lpstr>
      <vt:lpstr>'49-Utility1'!Print_Area</vt:lpstr>
      <vt:lpstr>'49-Utility2'!Print_Area</vt:lpstr>
      <vt:lpstr>'49-Utility3'!Print_Area</vt:lpstr>
      <vt:lpstr>'49-Utility4'!Print_Area</vt:lpstr>
      <vt:lpstr>'49-Utility5'!Print_Area</vt:lpstr>
      <vt:lpstr>'49-Utility6'!Print_Area</vt:lpstr>
      <vt:lpstr>'4-Trial Bal-Pub Assist Fnd'!Print_Area</vt:lpstr>
      <vt:lpstr>'50.1-Utility1'!Print_Area</vt:lpstr>
      <vt:lpstr>'50.1-Utility2'!Print_Area</vt:lpstr>
      <vt:lpstr>'50.1-Utility3'!Print_Area</vt:lpstr>
      <vt:lpstr>'50.1-Utility4'!Print_Area</vt:lpstr>
      <vt:lpstr>'50.1-Utility5'!Print_Area</vt:lpstr>
      <vt:lpstr>'50.1-Utility6'!Print_Area</vt:lpstr>
      <vt:lpstr>'50-Utility1'!Print_Area</vt:lpstr>
      <vt:lpstr>'50-Utility2'!Print_Area</vt:lpstr>
      <vt:lpstr>'50-Utility3'!Print_Area</vt:lpstr>
      <vt:lpstr>'50-Utility4'!Print_Area</vt:lpstr>
      <vt:lpstr>'50-Utility5'!Print_Area</vt:lpstr>
      <vt:lpstr>'50-Utility6'!Print_Area</vt:lpstr>
      <vt:lpstr>'51a-Utility1'!Print_Area</vt:lpstr>
      <vt:lpstr>'51a-Utility2'!Print_Area</vt:lpstr>
      <vt:lpstr>'51a-Utility3'!Print_Area</vt:lpstr>
      <vt:lpstr>'51a-Utility4'!Print_Area</vt:lpstr>
      <vt:lpstr>'51a-Utility5'!Print_Area</vt:lpstr>
      <vt:lpstr>'51a-Utility6'!Print_Area</vt:lpstr>
      <vt:lpstr>'51-Utility1'!Print_Area</vt:lpstr>
      <vt:lpstr>'51-Utility2'!Print_Area</vt:lpstr>
      <vt:lpstr>'51-Utility3'!Print_Area</vt:lpstr>
      <vt:lpstr>'51-Utility4'!Print_Area</vt:lpstr>
      <vt:lpstr>'51-Utility5'!Print_Area</vt:lpstr>
      <vt:lpstr>'51-Utility6'!Print_Area</vt:lpstr>
      <vt:lpstr>'52.1-Utility1'!Print_Area</vt:lpstr>
      <vt:lpstr>'52.1-Utility2'!Print_Area</vt:lpstr>
      <vt:lpstr>'52.1-Utility3'!Print_Area</vt:lpstr>
      <vt:lpstr>'52.1-Utility4'!Print_Area</vt:lpstr>
      <vt:lpstr>'52.1-Utility5'!Print_Area</vt:lpstr>
      <vt:lpstr>'52.1-Utility6'!Print_Area</vt:lpstr>
      <vt:lpstr>'52.2-Utility1'!Print_Area</vt:lpstr>
      <vt:lpstr>'52.2-Utility2'!Print_Area</vt:lpstr>
      <vt:lpstr>'52.2-Utility3'!Print_Area</vt:lpstr>
      <vt:lpstr>'52.2-Utility4'!Print_Area</vt:lpstr>
      <vt:lpstr>'52.2-Utility5'!Print_Area</vt:lpstr>
      <vt:lpstr>'52.2-Utility6'!Print_Area</vt:lpstr>
      <vt:lpstr>'52.3-Utility1'!Print_Area</vt:lpstr>
      <vt:lpstr>'52.3-Utility2'!Print_Area</vt:lpstr>
      <vt:lpstr>'52.3-Utility3'!Print_Area</vt:lpstr>
      <vt:lpstr>'52.3-Utility4'!Print_Area</vt:lpstr>
      <vt:lpstr>'52.3-Utility5'!Print_Area</vt:lpstr>
      <vt:lpstr>'52.3-Utility6'!Print_Area</vt:lpstr>
      <vt:lpstr>'52-Totals-Utility1'!Print_Area</vt:lpstr>
      <vt:lpstr>'52-Totals-Utility2'!Print_Area</vt:lpstr>
      <vt:lpstr>'52-Totals-Utility3'!Print_Area</vt:lpstr>
      <vt:lpstr>'52-Totals-Utility4'!Print_Area</vt:lpstr>
      <vt:lpstr>'52-Totals-Utility5'!Print_Area</vt:lpstr>
      <vt:lpstr>'52-Totals-Utility6'!Print_Area</vt:lpstr>
      <vt:lpstr>'52-Utility1'!Print_Area</vt:lpstr>
      <vt:lpstr>'52-Utility2'!Print_Area</vt:lpstr>
      <vt:lpstr>'52-Utility3'!Print_Area</vt:lpstr>
      <vt:lpstr>'52-Utility4'!Print_Area</vt:lpstr>
      <vt:lpstr>'52-Utility5'!Print_Area</vt:lpstr>
      <vt:lpstr>'52-Utility6'!Print_Area</vt:lpstr>
      <vt:lpstr>'53-Utility1'!Print_Area</vt:lpstr>
      <vt:lpstr>'53-Utility2'!Print_Area</vt:lpstr>
      <vt:lpstr>'53-Utility3'!Print_Area</vt:lpstr>
      <vt:lpstr>'53-Utility4'!Print_Area</vt:lpstr>
      <vt:lpstr>'53-Utility5'!Print_Area</vt:lpstr>
      <vt:lpstr>'53-Utility6'!Print_Area</vt:lpstr>
      <vt:lpstr>'54-Utility1'!Print_Area</vt:lpstr>
      <vt:lpstr>'54-Utility2'!Print_Area</vt:lpstr>
      <vt:lpstr>'54-Utility3'!Print_Area</vt:lpstr>
      <vt:lpstr>'54-Utility4'!Print_Area</vt:lpstr>
      <vt:lpstr>'54-Utility5'!Print_Area</vt:lpstr>
      <vt:lpstr>'54-Utility6'!Print_Area</vt:lpstr>
      <vt:lpstr>'5-Trial Bal-Grants'!Print_Area</vt:lpstr>
      <vt:lpstr>'6.1-Trial Bal-Trust Fnds'!Print_Area</vt:lpstr>
      <vt:lpstr>'6.2-Trial Bal-Trust Fnds'!Print_Area</vt:lpstr>
      <vt:lpstr>'6.3-Trial Bal-Trust Fnds'!Print_Area</vt:lpstr>
      <vt:lpstr>'6.4-Trial Bal-Trust Fnds'!Print_Area</vt:lpstr>
      <vt:lpstr>'6.TOTAL-Trial Bal-Trust Fnds'!Print_Area</vt:lpstr>
      <vt:lpstr>'69 - Instructions'!Print_Area</vt:lpstr>
      <vt:lpstr>'6b.1-Trust Fund Reserves'!Print_Area</vt:lpstr>
      <vt:lpstr>'6b.2-Trust Fund Reserves'!Print_Area</vt:lpstr>
      <vt:lpstr>'6b.3-Trust Fund Reserves'!Print_Area</vt:lpstr>
      <vt:lpstr>'6b-Total Trust Fund Reserves'!Print_Area</vt:lpstr>
      <vt:lpstr>'6b-Trust Fund Reserves'!Print_Area</vt:lpstr>
      <vt:lpstr>'6-Trial Bal-Trust Fnds'!Print_Area</vt:lpstr>
      <vt:lpstr>'7-Trust Asm Cash &amp; Investments'!Print_Area</vt:lpstr>
      <vt:lpstr>'8.1-Trial Bal-Gen Cap Fund'!Print_Area</vt:lpstr>
      <vt:lpstr>'8-Trial Bal-Gen Cap Fund'!Print_Area</vt:lpstr>
      <vt:lpstr>'9a TOTAL-Cash Reconciliation'!Print_Area</vt:lpstr>
      <vt:lpstr>'9a.1-Cash Reconciliation'!Print_Area</vt:lpstr>
      <vt:lpstr>'9a.2-Cash Reconciliation'!Print_Area</vt:lpstr>
      <vt:lpstr>'9a.3-Cash Reconciliation'!Print_Area</vt:lpstr>
      <vt:lpstr>'9a-Cash Reconciliation'!Print_Area</vt:lpstr>
      <vt:lpstr>'9-Cash Reconciliation'!Print_Area</vt:lpstr>
      <vt:lpstr>Instructions!Print_Area</vt:lpstr>
      <vt:lpstr>'KEY INPUTS'!Print_Area</vt:lpstr>
      <vt:lpstr>Utility_Count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DLGS@dca.nj.gov</dc:creator>
  <cp:lastModifiedBy>Bill Benz</cp:lastModifiedBy>
  <cp:lastPrinted>2025-03-21T18:06:02Z</cp:lastPrinted>
  <dcterms:created xsi:type="dcterms:W3CDTF">1999-12-07T13:42:27Z</dcterms:created>
  <dcterms:modified xsi:type="dcterms:W3CDTF">2025-03-24T21:34:16Z</dcterms:modified>
</cp:coreProperties>
</file>